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105" yWindow="-105" windowWidth="19425" windowHeight="10305" tabRatio="601" activeTab="2"/>
  </bookViews>
  <sheets>
    <sheet name="Note for users" sheetId="82" r:id="rId1"/>
    <sheet name="1.Project Cost and MOF" sheetId="62" r:id="rId2"/>
    <sheet name="2.Capex Details" sheetId="57" r:id="rId3"/>
    <sheet name="4.TL repayment sch" sheetId="23" r:id="rId4"/>
    <sheet name="5.Closing Stock &amp; W Capital" sheetId="61" r:id="rId5"/>
    <sheet name="6.Cons Profit &amp; Loss" sheetId="21" r:id="rId6"/>
    <sheet name="7.Balance Sheet" sheetId="69" r:id="rId7"/>
    <sheet name="3.Other Exp &amp; Taxes" sheetId="22" r:id="rId8"/>
    <sheet name="10.Grain Production details" sheetId="81" r:id="rId9"/>
    <sheet name="8.Cash Flow " sheetId="68" r:id="rId10"/>
    <sheet name="9. Financial indiacators" sheetId="29" r:id="rId11"/>
    <sheet name="13.Facility 2 Grain Processing-" sheetId="84" r:id="rId12"/>
    <sheet name="11.F&amp;V Crop Production details" sheetId="83" r:id="rId13"/>
    <sheet name="12.Facility 1 - Trading" sheetId="55" state="hidden" r:id="rId14"/>
    <sheet name="17.Facility 6 Horti Processing " sheetId="72" state="hidden" r:id="rId15"/>
    <sheet name="14. Facility 3 Warehouse" sheetId="42" state="hidden" r:id="rId16"/>
    <sheet name="15. Facility 4 Custom Hiring" sheetId="48" state="hidden" r:id="rId17"/>
    <sheet name="16.Facility 5 Agri Input" sheetId="53" state="hidden" r:id="rId18"/>
    <sheet name="Input Sheet" sheetId="85" r:id="rId19"/>
  </sheets>
  <definedNames>
    <definedName name="_xlnm.Print_Area" localSheetId="1">'1.Project Cost and MOF'!$A$1:$G$35</definedName>
    <definedName name="_xlnm.Print_Area" localSheetId="8">'10.Grain Production details'!$A$1:$H$52</definedName>
    <definedName name="_xlnm.Print_Area" localSheetId="12">'11.F&amp;V Crop Production details'!$A$1:$H$45</definedName>
    <definedName name="_xlnm.Print_Area" localSheetId="13">'12.Facility 1 - Trading'!$A$1:$J$308</definedName>
    <definedName name="_xlnm.Print_Area" localSheetId="11">'13.Facility 2 Grain Processing-'!$A$1:$H$71,'13.Facility 2 Grain Processing-'!$A$128:$J$493,'13.Facility 2 Grain Processing-'!$A$76:$J$124</definedName>
    <definedName name="_xlnm.Print_Area" localSheetId="15">'14. Facility 3 Warehouse'!$A$1:$J$51</definedName>
    <definedName name="_xlnm.Print_Area" localSheetId="16">'15. Facility 4 Custom Hiring'!$A$1:$K$62</definedName>
    <definedName name="_xlnm.Print_Area" localSheetId="17">'16.Facility 5 Agri Input'!$A$1:$J$280</definedName>
    <definedName name="_xlnm.Print_Area" localSheetId="14">'17.Facility 6 Horti Processing '!$A$3:$H$184</definedName>
    <definedName name="_xlnm.Print_Area" localSheetId="2">'2.Capex Details'!$A$1:$H$123</definedName>
    <definedName name="_xlnm.Print_Area" localSheetId="7">'3.Other Exp &amp; Taxes'!$A$1:$R$98</definedName>
    <definedName name="_xlnm.Print_Area" localSheetId="3">'4.TL repayment sch'!$A$1:$H$95</definedName>
    <definedName name="_xlnm.Print_Area" localSheetId="4">'5.Closing Stock &amp; W Capital'!$A$1:$L$95</definedName>
    <definedName name="_xlnm.Print_Area" localSheetId="5">'6.Cons Profit &amp; Loss'!$A$1:$I$64</definedName>
    <definedName name="_xlnm.Print_Area" localSheetId="6">'7.Balance Sheet'!$A$1:$I$51</definedName>
    <definedName name="_xlnm.Print_Area" localSheetId="9">'8.Cash Flow '!$A$1:$J$38</definedName>
    <definedName name="_xlnm.Print_Area" localSheetId="10">'9. Financial indiacators'!$B$1:$J$183</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69" i="57" l="1"/>
  <c r="K68" i="57"/>
  <c r="K66" i="57"/>
  <c r="N63" i="57"/>
  <c r="N61" i="57"/>
  <c r="L61" i="57"/>
  <c r="L59" i="57"/>
  <c r="K63" i="57"/>
  <c r="K62" i="57"/>
  <c r="K60" i="57"/>
  <c r="K61" i="57" s="1"/>
  <c r="C107" i="29" l="1"/>
  <c r="D107" i="29"/>
  <c r="E107" i="29"/>
  <c r="F107" i="29"/>
  <c r="G107" i="29"/>
  <c r="H107" i="29"/>
  <c r="I107" i="29"/>
  <c r="C108" i="29"/>
  <c r="D108" i="29"/>
  <c r="E108" i="29"/>
  <c r="F108" i="29"/>
  <c r="G108" i="29"/>
  <c r="H108" i="29"/>
  <c r="I108" i="29"/>
  <c r="C109" i="29"/>
  <c r="D109" i="29"/>
  <c r="E109" i="29"/>
  <c r="F109" i="29"/>
  <c r="G109" i="29"/>
  <c r="H109" i="29"/>
  <c r="I109" i="29"/>
  <c r="C112" i="29"/>
  <c r="D112" i="29"/>
  <c r="E112" i="29"/>
  <c r="F112" i="29"/>
  <c r="G112" i="29"/>
  <c r="H112" i="29"/>
  <c r="I112" i="29"/>
  <c r="F6" i="57" l="1"/>
  <c r="H19" i="81" l="1"/>
  <c r="H16" i="81"/>
  <c r="H15" i="81"/>
  <c r="F19" i="81"/>
  <c r="F16" i="81"/>
  <c r="F15" i="81"/>
  <c r="D16" i="81"/>
  <c r="D19" i="81"/>
  <c r="D15" i="81"/>
  <c r="B16" i="84"/>
  <c r="G7" i="57" l="1"/>
  <c r="H68" i="84"/>
  <c r="G68" i="84"/>
  <c r="F68" i="84"/>
  <c r="E68" i="84"/>
  <c r="D68" i="84"/>
  <c r="C68" i="84"/>
  <c r="B68" i="84"/>
  <c r="G19" i="84"/>
  <c r="H19" i="84" s="1"/>
  <c r="H18" i="84"/>
  <c r="G18" i="84"/>
  <c r="K6" i="81" l="1"/>
  <c r="K5" i="81"/>
  <c r="D102" i="84" l="1"/>
  <c r="G61" i="57"/>
  <c r="G60" i="57"/>
  <c r="G59" i="57"/>
  <c r="G58" i="57"/>
  <c r="G62" i="57" l="1"/>
  <c r="L6" i="81"/>
  <c r="M6" i="81" s="1"/>
  <c r="L5" i="81"/>
  <c r="M5" i="81" s="1"/>
  <c r="N5" i="81" s="1"/>
  <c r="O5" i="81" s="1"/>
  <c r="P5" i="81" s="1"/>
  <c r="Q5" i="81" s="1"/>
  <c r="I205" i="85"/>
  <c r="D103" i="85" l="1"/>
  <c r="E103" i="85" s="1"/>
  <c r="F103" i="85" s="1"/>
  <c r="G103" i="85" s="1"/>
  <c r="H103" i="85" s="1"/>
  <c r="I103" i="85" s="1"/>
  <c r="J103" i="85" s="1"/>
  <c r="K103" i="85" s="1"/>
  <c r="L103" i="85" s="1"/>
  <c r="AB22" i="81" l="1"/>
  <c r="U23" i="81"/>
  <c r="T23" i="81"/>
  <c r="S24" i="81"/>
  <c r="S23" i="81"/>
  <c r="U21" i="81"/>
  <c r="T21" i="81"/>
  <c r="S21" i="81"/>
  <c r="Q23" i="81"/>
  <c r="R23" i="81" s="1"/>
  <c r="P23" i="81"/>
  <c r="R22" i="81"/>
  <c r="S22" i="81" s="1"/>
  <c r="T22" i="81" s="1"/>
  <c r="U22" i="81" s="1"/>
  <c r="Q22" i="81"/>
  <c r="P22" i="81"/>
  <c r="A35" i="81"/>
  <c r="A26" i="81"/>
  <c r="D46" i="81"/>
  <c r="E46" i="81" s="1"/>
  <c r="F46" i="81" s="1"/>
  <c r="G46" i="81" s="1"/>
  <c r="H46" i="81" s="1"/>
  <c r="A30" i="81"/>
  <c r="A29" i="81"/>
  <c r="A28" i="81"/>
  <c r="A37" i="81" s="1"/>
  <c r="A27" i="81"/>
  <c r="A36" i="81" s="1"/>
  <c r="A46" i="81" s="1"/>
  <c r="B7" i="81"/>
  <c r="B9" i="81" s="1"/>
  <c r="D17" i="81" l="1"/>
  <c r="F17" i="81" s="1"/>
  <c r="D18" i="81"/>
  <c r="F18" i="81" s="1"/>
  <c r="H18" i="81" s="1"/>
  <c r="I48" i="84" l="1"/>
  <c r="I47" i="84"/>
  <c r="C350" i="84"/>
  <c r="C337" i="84" l="1"/>
  <c r="C165" i="84" s="1"/>
  <c r="C336" i="84"/>
  <c r="C159" i="84" s="1"/>
  <c r="C307" i="84"/>
  <c r="C306" i="84"/>
  <c r="C254" i="84"/>
  <c r="C221" i="84"/>
  <c r="B322" i="84"/>
  <c r="A33" i="84"/>
  <c r="A32" i="84"/>
  <c r="M122" i="84" l="1"/>
  <c r="D150" i="85" l="1"/>
  <c r="D149" i="85"/>
  <c r="D146" i="85"/>
  <c r="E146" i="85" s="1"/>
  <c r="F146" i="85" s="1"/>
  <c r="G146" i="85" s="1"/>
  <c r="H146" i="85" s="1"/>
  <c r="I146" i="85" s="1"/>
  <c r="J146" i="85" s="1"/>
  <c r="K146" i="85" s="1"/>
  <c r="L146" i="85" s="1"/>
  <c r="D145" i="85"/>
  <c r="D142" i="85"/>
  <c r="D141" i="85"/>
  <c r="D135" i="85"/>
  <c r="D134" i="85"/>
  <c r="B150" i="85"/>
  <c r="B149" i="85"/>
  <c r="B148" i="85"/>
  <c r="B146" i="85"/>
  <c r="B145" i="85"/>
  <c r="B144" i="85"/>
  <c r="B142" i="85"/>
  <c r="B141" i="85"/>
  <c r="B140" i="85"/>
  <c r="B135" i="85"/>
  <c r="B134" i="85"/>
  <c r="B133" i="85"/>
  <c r="D121" i="85"/>
  <c r="E121" i="85" s="1"/>
  <c r="F121" i="85" s="1"/>
  <c r="G121" i="85" s="1"/>
  <c r="H121" i="85" s="1"/>
  <c r="I121" i="85" s="1"/>
  <c r="J121" i="85" s="1"/>
  <c r="K121" i="85" s="1"/>
  <c r="L121" i="85" s="1"/>
  <c r="D113" i="85"/>
  <c r="E113" i="85" s="1"/>
  <c r="F113" i="85" s="1"/>
  <c r="G113" i="85" s="1"/>
  <c r="H113" i="85" s="1"/>
  <c r="I113" i="85" s="1"/>
  <c r="J113" i="85" s="1"/>
  <c r="K113" i="85" s="1"/>
  <c r="L113" i="85" s="1"/>
  <c r="D112" i="85"/>
  <c r="E112" i="85" s="1"/>
  <c r="F112" i="85" s="1"/>
  <c r="G112" i="85" s="1"/>
  <c r="H112" i="85" s="1"/>
  <c r="I112" i="85" s="1"/>
  <c r="J112" i="85" s="1"/>
  <c r="K112" i="85" s="1"/>
  <c r="L112" i="85" s="1"/>
  <c r="B23" i="84"/>
  <c r="E149" i="85" l="1"/>
  <c r="E150" i="85"/>
  <c r="E145" i="85"/>
  <c r="E134" i="85"/>
  <c r="E135" i="85"/>
  <c r="E142" i="85"/>
  <c r="E141" i="85"/>
  <c r="A39" i="69"/>
  <c r="B8" i="68" s="1"/>
  <c r="K43" i="69"/>
  <c r="K41" i="69"/>
  <c r="K37" i="69"/>
  <c r="K36" i="69"/>
  <c r="K33" i="69"/>
  <c r="K31" i="69"/>
  <c r="K30" i="69"/>
  <c r="K27" i="69"/>
  <c r="K24" i="69"/>
  <c r="K23" i="69"/>
  <c r="K22" i="69"/>
  <c r="K20" i="69"/>
  <c r="K17" i="69"/>
  <c r="K13" i="69"/>
  <c r="K10" i="69"/>
  <c r="F149" i="85" l="1"/>
  <c r="F150" i="85"/>
  <c r="F145" i="85"/>
  <c r="F134" i="85"/>
  <c r="F135" i="85"/>
  <c r="F142" i="85"/>
  <c r="F141" i="85"/>
  <c r="Q85" i="22"/>
  <c r="G149" i="85" l="1"/>
  <c r="G150" i="85"/>
  <c r="G145" i="85"/>
  <c r="G134" i="85"/>
  <c r="G135" i="85"/>
  <c r="G142" i="85"/>
  <c r="G141" i="85"/>
  <c r="I272" i="84"/>
  <c r="H272" i="84"/>
  <c r="G272" i="84"/>
  <c r="F272" i="84"/>
  <c r="E272" i="84"/>
  <c r="D272" i="84"/>
  <c r="H149" i="85" l="1"/>
  <c r="H150" i="85"/>
  <c r="H145" i="85"/>
  <c r="H134" i="85"/>
  <c r="H135" i="85"/>
  <c r="H142" i="85"/>
  <c r="H141" i="85"/>
  <c r="C200" i="84"/>
  <c r="C240" i="84"/>
  <c r="B269" i="84"/>
  <c r="B268" i="84"/>
  <c r="B267" i="84"/>
  <c r="B266" i="84"/>
  <c r="B243" i="84"/>
  <c r="B242" i="84"/>
  <c r="B241" i="84"/>
  <c r="B240" i="84"/>
  <c r="I149" i="85" l="1"/>
  <c r="I150" i="85"/>
  <c r="I145" i="85"/>
  <c r="I134" i="85"/>
  <c r="I135" i="85"/>
  <c r="I142" i="85"/>
  <c r="I141" i="85"/>
  <c r="B26" i="83"/>
  <c r="E181" i="72"/>
  <c r="D181" i="72"/>
  <c r="D180" i="72"/>
  <c r="D185" i="72" s="1"/>
  <c r="A156" i="72"/>
  <c r="A155" i="72"/>
  <c r="A154" i="72"/>
  <c r="F149" i="72"/>
  <c r="F180" i="72" s="1"/>
  <c r="E149" i="72"/>
  <c r="E180" i="72" s="1"/>
  <c r="E185" i="72" s="1"/>
  <c r="B41" i="72"/>
  <c r="C40" i="72"/>
  <c r="D40" i="72" s="1"/>
  <c r="H65" i="72"/>
  <c r="G65" i="72"/>
  <c r="F65" i="72"/>
  <c r="E65" i="72"/>
  <c r="D65" i="72"/>
  <c r="C65" i="72"/>
  <c r="B65" i="72"/>
  <c r="A65" i="72"/>
  <c r="A135" i="72" s="1"/>
  <c r="H64" i="72"/>
  <c r="G64" i="72"/>
  <c r="F64" i="72"/>
  <c r="E64" i="72"/>
  <c r="D64" i="72"/>
  <c r="C64" i="72"/>
  <c r="B64" i="72"/>
  <c r="A64" i="72"/>
  <c r="A131" i="72" s="1"/>
  <c r="H63" i="72"/>
  <c r="G63" i="72"/>
  <c r="F63" i="72"/>
  <c r="E63" i="72"/>
  <c r="D63" i="72"/>
  <c r="C63" i="72"/>
  <c r="B63" i="72"/>
  <c r="A63" i="72"/>
  <c r="A127" i="72" s="1"/>
  <c r="H62" i="72"/>
  <c r="G62" i="72"/>
  <c r="F62" i="72"/>
  <c r="E62" i="72"/>
  <c r="D62" i="72"/>
  <c r="C62" i="72"/>
  <c r="B62" i="72"/>
  <c r="A62" i="72"/>
  <c r="A123" i="72" s="1"/>
  <c r="B61" i="72"/>
  <c r="A61" i="72"/>
  <c r="A122" i="72" s="1"/>
  <c r="B60" i="72"/>
  <c r="A60" i="72"/>
  <c r="A121" i="72" s="1"/>
  <c r="B59" i="72"/>
  <c r="A59" i="72"/>
  <c r="A120" i="72" s="1"/>
  <c r="B58" i="72"/>
  <c r="A58" i="72"/>
  <c r="A119" i="72" s="1"/>
  <c r="B57" i="72"/>
  <c r="A57" i="72"/>
  <c r="A118" i="72" s="1"/>
  <c r="B56" i="72"/>
  <c r="A56" i="72"/>
  <c r="A114" i="72" s="1"/>
  <c r="B55" i="72"/>
  <c r="A55" i="72"/>
  <c r="A110" i="72" s="1"/>
  <c r="B54" i="72"/>
  <c r="A54" i="72"/>
  <c r="A106" i="72" s="1"/>
  <c r="B53" i="72"/>
  <c r="A53" i="72"/>
  <c r="A102" i="72" s="1"/>
  <c r="B52" i="72"/>
  <c r="A52" i="72"/>
  <c r="A98" i="72" s="1"/>
  <c r="B51" i="72"/>
  <c r="A51" i="72"/>
  <c r="A94" i="72" s="1"/>
  <c r="B50" i="72"/>
  <c r="A50" i="72"/>
  <c r="A91" i="72" s="1"/>
  <c r="B49" i="72"/>
  <c r="A49" i="72"/>
  <c r="A87" i="72" s="1"/>
  <c r="B48" i="72"/>
  <c r="A48" i="72"/>
  <c r="A83" i="72" s="1"/>
  <c r="B47" i="72"/>
  <c r="A47" i="72"/>
  <c r="A79" i="72" s="1"/>
  <c r="B46" i="72"/>
  <c r="A46" i="72"/>
  <c r="A75" i="72" s="1"/>
  <c r="B45" i="72"/>
  <c r="A45" i="72"/>
  <c r="A71" i="72" s="1"/>
  <c r="B44" i="72"/>
  <c r="A44" i="72"/>
  <c r="A67" i="72" s="1"/>
  <c r="D117" i="85"/>
  <c r="E117" i="85" s="1"/>
  <c r="F117" i="85" s="1"/>
  <c r="G117" i="85" s="1"/>
  <c r="H117" i="85" s="1"/>
  <c r="I117" i="85" s="1"/>
  <c r="J117" i="85" s="1"/>
  <c r="K117" i="85" s="1"/>
  <c r="L117" i="85" s="1"/>
  <c r="J149" i="85" l="1"/>
  <c r="K149" i="85" s="1"/>
  <c r="L149" i="85" s="1"/>
  <c r="J150" i="85"/>
  <c r="K150" i="85" s="1"/>
  <c r="L150" i="85" s="1"/>
  <c r="J145" i="85"/>
  <c r="K145" i="85" s="1"/>
  <c r="L145" i="85" s="1"/>
  <c r="J134" i="85"/>
  <c r="K134" i="85" s="1"/>
  <c r="L134" i="85" s="1"/>
  <c r="J135" i="85"/>
  <c r="K135" i="85" s="1"/>
  <c r="L135" i="85" s="1"/>
  <c r="J142" i="85"/>
  <c r="K142" i="85" s="1"/>
  <c r="L142" i="85" s="1"/>
  <c r="J141" i="85"/>
  <c r="K141" i="85" s="1"/>
  <c r="L141" i="85" s="1"/>
  <c r="E40" i="72"/>
  <c r="D41" i="72"/>
  <c r="D163" i="72"/>
  <c r="B126" i="72"/>
  <c r="B143" i="72" s="1"/>
  <c r="D164" i="72"/>
  <c r="B124" i="72"/>
  <c r="B141" i="72" s="1"/>
  <c r="D167" i="72"/>
  <c r="B125" i="72"/>
  <c r="B142" i="72" s="1"/>
  <c r="F126" i="72"/>
  <c r="F143" i="72" s="1"/>
  <c r="F124" i="72"/>
  <c r="F141" i="72" s="1"/>
  <c r="F125" i="72"/>
  <c r="F142" i="72" s="1"/>
  <c r="C44" i="72"/>
  <c r="C46" i="72"/>
  <c r="C48" i="72"/>
  <c r="D44" i="72"/>
  <c r="D45" i="72"/>
  <c r="D46" i="72"/>
  <c r="D47" i="72"/>
  <c r="D48" i="72"/>
  <c r="D49" i="72"/>
  <c r="D50" i="72"/>
  <c r="D51" i="72"/>
  <c r="D52" i="72"/>
  <c r="D53" i="72"/>
  <c r="D54" i="72"/>
  <c r="D55" i="72"/>
  <c r="D56" i="72"/>
  <c r="D57" i="72"/>
  <c r="D58" i="72"/>
  <c r="D59" i="72"/>
  <c r="D60" i="72"/>
  <c r="D61" i="72"/>
  <c r="D124" i="72"/>
  <c r="D141" i="72" s="1"/>
  <c r="F167" i="72"/>
  <c r="D125" i="72"/>
  <c r="D142" i="72" s="1"/>
  <c r="F163" i="72"/>
  <c r="D126" i="72"/>
  <c r="D143" i="72" s="1"/>
  <c r="F164" i="72"/>
  <c r="H124" i="72"/>
  <c r="H141" i="72" s="1"/>
  <c r="H125" i="72"/>
  <c r="H142" i="72" s="1"/>
  <c r="H126" i="72"/>
  <c r="H143" i="72" s="1"/>
  <c r="C50" i="72"/>
  <c r="C52" i="72"/>
  <c r="C54" i="72"/>
  <c r="C56" i="72"/>
  <c r="C58" i="72"/>
  <c r="C60" i="72"/>
  <c r="E164" i="72"/>
  <c r="C124" i="72"/>
  <c r="C141" i="72" s="1"/>
  <c r="E167" i="72"/>
  <c r="C125" i="72"/>
  <c r="C142" i="72" s="1"/>
  <c r="E163" i="72"/>
  <c r="C126" i="72"/>
  <c r="C143" i="72" s="1"/>
  <c r="G124" i="72"/>
  <c r="G141" i="72" s="1"/>
  <c r="G125" i="72"/>
  <c r="G142" i="72" s="1"/>
  <c r="G126" i="72"/>
  <c r="G143" i="72" s="1"/>
  <c r="D39" i="72"/>
  <c r="H39" i="72"/>
  <c r="C41" i="72"/>
  <c r="C45" i="72" s="1"/>
  <c r="E39" i="72"/>
  <c r="G167" i="72"/>
  <c r="E125" i="72"/>
  <c r="E142" i="72" s="1"/>
  <c r="E126" i="72"/>
  <c r="E143" i="72" s="1"/>
  <c r="G164" i="72"/>
  <c r="E124" i="72"/>
  <c r="E141" i="72" s="1"/>
  <c r="B39" i="72"/>
  <c r="F39" i="72"/>
  <c r="C39" i="72"/>
  <c r="G39" i="72"/>
  <c r="G149" i="72"/>
  <c r="F181" i="72"/>
  <c r="F185" i="72" s="1"/>
  <c r="L207" i="85"/>
  <c r="I154" i="84"/>
  <c r="H154" i="84"/>
  <c r="G154" i="84"/>
  <c r="F154" i="84"/>
  <c r="E154" i="84"/>
  <c r="D154" i="84"/>
  <c r="C154" i="84"/>
  <c r="E168" i="72" l="1"/>
  <c r="F12" i="72"/>
  <c r="E41" i="72"/>
  <c r="F40" i="72"/>
  <c r="F42" i="72" s="1"/>
  <c r="F168" i="72"/>
  <c r="G181" i="72"/>
  <c r="G168" i="72"/>
  <c r="G169" i="72"/>
  <c r="H149" i="72"/>
  <c r="G180" i="72"/>
  <c r="G185" i="72" s="1"/>
  <c r="C42" i="72"/>
  <c r="C12" i="72"/>
  <c r="B12" i="72"/>
  <c r="B42" i="72"/>
  <c r="G163" i="72"/>
  <c r="D168" i="72"/>
  <c r="D169" i="72"/>
  <c r="D159" i="72"/>
  <c r="G12" i="72"/>
  <c r="F169" i="72"/>
  <c r="C61" i="72"/>
  <c r="C59" i="72"/>
  <c r="C57" i="72"/>
  <c r="C55" i="72"/>
  <c r="C53" i="72"/>
  <c r="C51" i="72"/>
  <c r="C49" i="72"/>
  <c r="C47" i="72"/>
  <c r="D12" i="72"/>
  <c r="D42" i="72"/>
  <c r="E12" i="72"/>
  <c r="E42" i="72"/>
  <c r="H12" i="72"/>
  <c r="E169" i="72"/>
  <c r="D125" i="85"/>
  <c r="D337" i="84" s="1"/>
  <c r="D169" i="85"/>
  <c r="E169" i="85" s="1"/>
  <c r="F169" i="85" s="1"/>
  <c r="G169" i="85" s="1"/>
  <c r="H169" i="85" s="1"/>
  <c r="I169" i="85" s="1"/>
  <c r="B126" i="85"/>
  <c r="B125" i="85"/>
  <c r="B164" i="84" s="1"/>
  <c r="B329" i="84" s="1"/>
  <c r="B124" i="85"/>
  <c r="B118" i="85"/>
  <c r="B117" i="85"/>
  <c r="B116" i="85"/>
  <c r="B111" i="85"/>
  <c r="B110" i="85"/>
  <c r="B109" i="85"/>
  <c r="E159" i="72" l="1"/>
  <c r="F159" i="72"/>
  <c r="D166" i="72"/>
  <c r="D165" i="72"/>
  <c r="H168" i="72"/>
  <c r="H169" i="72"/>
  <c r="I149" i="72"/>
  <c r="H180" i="72"/>
  <c r="H185" i="72" s="1"/>
  <c r="H181" i="72"/>
  <c r="H163" i="72"/>
  <c r="H167" i="72"/>
  <c r="H164" i="72"/>
  <c r="F166" i="72"/>
  <c r="F165" i="72"/>
  <c r="I165" i="72"/>
  <c r="I166" i="72"/>
  <c r="E165" i="72"/>
  <c r="E166" i="72"/>
  <c r="F41" i="72"/>
  <c r="G40" i="72"/>
  <c r="H166" i="72"/>
  <c r="H165" i="72"/>
  <c r="G165" i="72"/>
  <c r="G166" i="72"/>
  <c r="G159" i="72"/>
  <c r="H159" i="72"/>
  <c r="E44" i="72"/>
  <c r="E50" i="72"/>
  <c r="E54" i="72"/>
  <c r="E58" i="72"/>
  <c r="E53" i="72"/>
  <c r="E45" i="72"/>
  <c r="E47" i="72"/>
  <c r="E51" i="72"/>
  <c r="E55" i="72"/>
  <c r="E59" i="72"/>
  <c r="E49" i="72"/>
  <c r="E61" i="72"/>
  <c r="E46" i="72"/>
  <c r="E48" i="72"/>
  <c r="E52" i="72"/>
  <c r="E56" i="72"/>
  <c r="E60" i="72"/>
  <c r="E57" i="72"/>
  <c r="E125" i="85"/>
  <c r="E337" i="84" s="1"/>
  <c r="D165" i="84"/>
  <c r="E177" i="72" l="1"/>
  <c r="E186" i="72" s="1"/>
  <c r="E188" i="72" s="1"/>
  <c r="G177" i="72"/>
  <c r="G186" i="72" s="1"/>
  <c r="G188" i="72" s="1"/>
  <c r="D177" i="72"/>
  <c r="D186" i="72" s="1"/>
  <c r="D188" i="72" s="1"/>
  <c r="H177" i="72"/>
  <c r="H186" i="72" s="1"/>
  <c r="H188" i="72" s="1"/>
  <c r="H40" i="72"/>
  <c r="G41" i="72"/>
  <c r="G42" i="72"/>
  <c r="F47" i="72"/>
  <c r="F51" i="72"/>
  <c r="F55" i="72"/>
  <c r="F59" i="72"/>
  <c r="F50" i="72"/>
  <c r="F54" i="72"/>
  <c r="F44" i="72"/>
  <c r="F48" i="72"/>
  <c r="F52" i="72"/>
  <c r="F56" i="72"/>
  <c r="F60" i="72"/>
  <c r="F46" i="72"/>
  <c r="F58" i="72"/>
  <c r="F45" i="72"/>
  <c r="F49" i="72"/>
  <c r="F53" i="72"/>
  <c r="F57" i="72"/>
  <c r="F61" i="72"/>
  <c r="F177" i="72"/>
  <c r="F186" i="72" s="1"/>
  <c r="F188" i="72" s="1"/>
  <c r="I169" i="72"/>
  <c r="J149" i="72"/>
  <c r="I180" i="72"/>
  <c r="I185" i="72" s="1"/>
  <c r="I181" i="72"/>
  <c r="I168" i="72"/>
  <c r="I164" i="72"/>
  <c r="I163" i="72"/>
  <c r="I167" i="72"/>
  <c r="F125" i="85"/>
  <c r="F337" i="84" s="1"/>
  <c r="E165" i="84"/>
  <c r="I159" i="72" l="1"/>
  <c r="I177" i="72"/>
  <c r="I186" i="72" s="1"/>
  <c r="G44" i="72"/>
  <c r="G46" i="72"/>
  <c r="G48" i="72"/>
  <c r="G50" i="72"/>
  <c r="G52" i="72"/>
  <c r="G54" i="72"/>
  <c r="G56" i="72"/>
  <c r="G58" i="72"/>
  <c r="G60" i="72"/>
  <c r="G45" i="72"/>
  <c r="G47" i="72"/>
  <c r="G49" i="72"/>
  <c r="G51" i="72"/>
  <c r="G53" i="72"/>
  <c r="G55" i="72"/>
  <c r="G57" i="72"/>
  <c r="G59" i="72"/>
  <c r="G61" i="72"/>
  <c r="J180" i="72"/>
  <c r="J185" i="72" s="1"/>
  <c r="J181" i="72"/>
  <c r="J168" i="72"/>
  <c r="J169" i="72"/>
  <c r="J167" i="72"/>
  <c r="J164" i="72"/>
  <c r="J163" i="72"/>
  <c r="J166" i="72"/>
  <c r="J165" i="72"/>
  <c r="H41" i="72"/>
  <c r="H42" i="72"/>
  <c r="G125" i="85"/>
  <c r="G337" i="84" s="1"/>
  <c r="F165" i="84"/>
  <c r="I188" i="72" l="1"/>
  <c r="H45" i="72"/>
  <c r="H47" i="72"/>
  <c r="H49" i="72"/>
  <c r="H51" i="72"/>
  <c r="H53" i="72"/>
  <c r="H55" i="72"/>
  <c r="H57" i="72"/>
  <c r="H59" i="72"/>
  <c r="H61" i="72"/>
  <c r="H44" i="72"/>
  <c r="H46" i="72"/>
  <c r="H48" i="72"/>
  <c r="H50" i="72"/>
  <c r="H52" i="72"/>
  <c r="H54" i="72"/>
  <c r="H56" i="72"/>
  <c r="H58" i="72"/>
  <c r="H60" i="72"/>
  <c r="J159" i="72"/>
  <c r="J177" i="72"/>
  <c r="J186" i="72" s="1"/>
  <c r="H125" i="85"/>
  <c r="H337" i="84" s="1"/>
  <c r="G165" i="84"/>
  <c r="J188" i="72" l="1"/>
  <c r="I125" i="85"/>
  <c r="I337" i="84" s="1"/>
  <c r="H165" i="84"/>
  <c r="J125" i="85" l="1"/>
  <c r="K125" i="85" s="1"/>
  <c r="L125" i="85" s="1"/>
  <c r="I165" i="84"/>
  <c r="J6" i="62" l="1"/>
  <c r="E222" i="85" l="1"/>
  <c r="D489" i="84" s="1"/>
  <c r="E219" i="85"/>
  <c r="D484" i="84" s="1"/>
  <c r="C489" i="84"/>
  <c r="E221" i="85"/>
  <c r="F221" i="85" s="1"/>
  <c r="G221" i="85" s="1"/>
  <c r="H221" i="85" s="1"/>
  <c r="I221" i="85" s="1"/>
  <c r="J221" i="85" s="1"/>
  <c r="C482" i="84"/>
  <c r="C484" i="84"/>
  <c r="E218" i="85"/>
  <c r="F218" i="85" s="1"/>
  <c r="G218" i="85" s="1"/>
  <c r="H218" i="85" s="1"/>
  <c r="I218" i="85" s="1"/>
  <c r="J218" i="85" s="1"/>
  <c r="I482" i="84" s="1"/>
  <c r="D487" i="84"/>
  <c r="E487" i="84" s="1"/>
  <c r="B207" i="85"/>
  <c r="B213" i="85" s="1"/>
  <c r="G213" i="85" s="1"/>
  <c r="H214" i="85" s="1"/>
  <c r="E205" i="85"/>
  <c r="E203" i="85"/>
  <c r="D197" i="85"/>
  <c r="E197" i="85" s="1"/>
  <c r="F197" i="85" s="1"/>
  <c r="G197" i="85" s="1"/>
  <c r="H197" i="85" s="1"/>
  <c r="I197" i="85" s="1"/>
  <c r="F192" i="85"/>
  <c r="H191" i="85"/>
  <c r="H190" i="85"/>
  <c r="H189" i="85"/>
  <c r="H188" i="85"/>
  <c r="H187" i="85"/>
  <c r="H186" i="85"/>
  <c r="H185" i="85"/>
  <c r="H183" i="85"/>
  <c r="H182" i="85"/>
  <c r="H181" i="85"/>
  <c r="H180" i="85"/>
  <c r="H179" i="85"/>
  <c r="H178" i="85"/>
  <c r="H177" i="85"/>
  <c r="A463" i="84"/>
  <c r="A451" i="84"/>
  <c r="A439" i="84"/>
  <c r="A427" i="84"/>
  <c r="A414" i="84"/>
  <c r="B184" i="84"/>
  <c r="B169" i="84"/>
  <c r="B157" i="84"/>
  <c r="B133" i="84"/>
  <c r="B147" i="84"/>
  <c r="B470" i="84"/>
  <c r="B458" i="84"/>
  <c r="B446" i="84"/>
  <c r="D98" i="85"/>
  <c r="C446" i="84" s="1"/>
  <c r="B434" i="84"/>
  <c r="B421" i="84"/>
  <c r="C368" i="84"/>
  <c r="B368" i="84"/>
  <c r="H368" i="84"/>
  <c r="B361" i="84"/>
  <c r="B357" i="84"/>
  <c r="C308" i="84"/>
  <c r="D124" i="85"/>
  <c r="C253" i="84"/>
  <c r="B286" i="84"/>
  <c r="B264" i="84"/>
  <c r="B238" i="84"/>
  <c r="B198" i="84"/>
  <c r="C222" i="84"/>
  <c r="C223" i="84"/>
  <c r="D139" i="85"/>
  <c r="D138" i="85"/>
  <c r="D131" i="85"/>
  <c r="D308" i="84" s="1"/>
  <c r="D130" i="85"/>
  <c r="D129" i="85"/>
  <c r="D116" i="85"/>
  <c r="D111" i="85"/>
  <c r="D223" i="84" s="1"/>
  <c r="D110" i="85"/>
  <c r="E110" i="85" s="1"/>
  <c r="F110" i="85" s="1"/>
  <c r="G110" i="85" s="1"/>
  <c r="H110" i="85" s="1"/>
  <c r="I110" i="85" s="1"/>
  <c r="J110" i="85" s="1"/>
  <c r="K110" i="85" s="1"/>
  <c r="L110" i="85" s="1"/>
  <c r="D109" i="85"/>
  <c r="E109" i="85" s="1"/>
  <c r="F109" i="85" s="1"/>
  <c r="G109" i="85" s="1"/>
  <c r="H109" i="85" s="1"/>
  <c r="I109" i="85" s="1"/>
  <c r="J109" i="85" s="1"/>
  <c r="K109" i="85" s="1"/>
  <c r="L109" i="85" s="1"/>
  <c r="C23" i="84"/>
  <c r="D100" i="85"/>
  <c r="E100" i="85" s="1"/>
  <c r="F100" i="85" s="1"/>
  <c r="G100" i="85" s="1"/>
  <c r="H100" i="85" s="1"/>
  <c r="I100" i="85" s="1"/>
  <c r="J100" i="85" s="1"/>
  <c r="K100" i="85" s="1"/>
  <c r="L100" i="85" s="1"/>
  <c r="D99" i="85"/>
  <c r="E99" i="85" s="1"/>
  <c r="F99" i="85" s="1"/>
  <c r="G99" i="85" s="1"/>
  <c r="H99" i="85" s="1"/>
  <c r="I99" i="85" s="1"/>
  <c r="J99" i="85" s="1"/>
  <c r="K99" i="85" s="1"/>
  <c r="L99" i="85" s="1"/>
  <c r="D97" i="85"/>
  <c r="E97" i="85" s="1"/>
  <c r="F97" i="85" s="1"/>
  <c r="G97" i="85" s="1"/>
  <c r="H97" i="85" s="1"/>
  <c r="I97" i="85" s="1"/>
  <c r="J97" i="85" s="1"/>
  <c r="K97" i="85" s="1"/>
  <c r="L97" i="85" s="1"/>
  <c r="D96" i="85"/>
  <c r="E96" i="85" s="1"/>
  <c r="F96" i="85" s="1"/>
  <c r="G96" i="85" s="1"/>
  <c r="H96" i="85" s="1"/>
  <c r="I96" i="85" s="1"/>
  <c r="J96" i="85" s="1"/>
  <c r="K96" i="85" s="1"/>
  <c r="L96" i="85" s="1"/>
  <c r="D95" i="85"/>
  <c r="E95" i="85" s="1"/>
  <c r="F95" i="85" s="1"/>
  <c r="G95" i="85" s="1"/>
  <c r="H95" i="85" s="1"/>
  <c r="I95" i="85" s="1"/>
  <c r="J95" i="85" s="1"/>
  <c r="K95" i="85" s="1"/>
  <c r="L95" i="85" s="1"/>
  <c r="D25" i="85"/>
  <c r="D24" i="85"/>
  <c r="I44" i="84"/>
  <c r="I43" i="84"/>
  <c r="I42" i="84"/>
  <c r="I54" i="84"/>
  <c r="I53" i="84"/>
  <c r="I52" i="84"/>
  <c r="I59" i="84"/>
  <c r="I58" i="84"/>
  <c r="I57" i="84"/>
  <c r="I64" i="84"/>
  <c r="I63" i="84"/>
  <c r="I62" i="84"/>
  <c r="A61" i="84"/>
  <c r="A62" i="84"/>
  <c r="A63" i="84"/>
  <c r="A64" i="84"/>
  <c r="A56" i="84"/>
  <c r="A59" i="84"/>
  <c r="A58" i="84"/>
  <c r="A57" i="84"/>
  <c r="A51" i="84"/>
  <c r="A54" i="84"/>
  <c r="A53" i="84"/>
  <c r="B271" i="84" s="1"/>
  <c r="A52" i="84"/>
  <c r="A49" i="84"/>
  <c r="A48" i="84"/>
  <c r="A47" i="84"/>
  <c r="A46" i="84"/>
  <c r="A44" i="84"/>
  <c r="A43" i="84"/>
  <c r="A42" i="84"/>
  <c r="A41" i="84"/>
  <c r="I36" i="84"/>
  <c r="I35" i="84"/>
  <c r="I34" i="84"/>
  <c r="A36" i="84"/>
  <c r="A35" i="84"/>
  <c r="A34" i="84"/>
  <c r="D221" i="84" l="1"/>
  <c r="E221" i="84"/>
  <c r="E130" i="85"/>
  <c r="E307" i="84" s="1"/>
  <c r="D307" i="84"/>
  <c r="E129" i="85"/>
  <c r="D306" i="84"/>
  <c r="E124" i="85"/>
  <c r="D336" i="84"/>
  <c r="D159" i="84" s="1"/>
  <c r="F482" i="84"/>
  <c r="G482" i="84"/>
  <c r="D482" i="84"/>
  <c r="H482" i="84"/>
  <c r="F219" i="85"/>
  <c r="G219" i="85" s="1"/>
  <c r="H219" i="85" s="1"/>
  <c r="I219" i="85" s="1"/>
  <c r="J219" i="85" s="1"/>
  <c r="I484" i="84" s="1"/>
  <c r="E482" i="84"/>
  <c r="F222" i="85"/>
  <c r="D253" i="84"/>
  <c r="E116" i="85"/>
  <c r="F487" i="84"/>
  <c r="H192" i="85"/>
  <c r="D368" i="84"/>
  <c r="E421" i="84"/>
  <c r="F434" i="84"/>
  <c r="E98" i="85"/>
  <c r="E458" i="84"/>
  <c r="F470" i="84"/>
  <c r="E111" i="85"/>
  <c r="E223" i="84" s="1"/>
  <c r="E368" i="84"/>
  <c r="F421" i="84"/>
  <c r="C434" i="84"/>
  <c r="G434" i="84"/>
  <c r="F458" i="84"/>
  <c r="C470" i="84"/>
  <c r="G470" i="84"/>
  <c r="F368" i="84"/>
  <c r="C421" i="84"/>
  <c r="G421" i="84"/>
  <c r="D434" i="84"/>
  <c r="H434" i="84"/>
  <c r="C458" i="84"/>
  <c r="G458" i="84"/>
  <c r="D470" i="84"/>
  <c r="H470" i="84"/>
  <c r="G368" i="84"/>
  <c r="D421" i="84"/>
  <c r="H421" i="84"/>
  <c r="E434" i="84"/>
  <c r="D458" i="84"/>
  <c r="H458" i="84"/>
  <c r="E470" i="84"/>
  <c r="E222" i="84"/>
  <c r="E131" i="85"/>
  <c r="D222" i="84"/>
  <c r="E138" i="85"/>
  <c r="E139" i="85"/>
  <c r="E24" i="85"/>
  <c r="E25" i="85"/>
  <c r="M26" i="62"/>
  <c r="K28" i="62"/>
  <c r="F130" i="85" l="1"/>
  <c r="F307" i="84" s="1"/>
  <c r="F129" i="85"/>
  <c r="E306" i="84"/>
  <c r="F124" i="85"/>
  <c r="E336" i="84"/>
  <c r="E159" i="84" s="1"/>
  <c r="F23" i="84"/>
  <c r="G23" i="84"/>
  <c r="H23" i="84"/>
  <c r="E484" i="84"/>
  <c r="F484" i="84"/>
  <c r="G484" i="84"/>
  <c r="G222" i="85"/>
  <c r="E489" i="84"/>
  <c r="H484" i="84"/>
  <c r="F221" i="84"/>
  <c r="G487" i="84"/>
  <c r="D23" i="84"/>
  <c r="E23" i="84"/>
  <c r="F111" i="85"/>
  <c r="G111" i="85" s="1"/>
  <c r="F98" i="85"/>
  <c r="D446" i="84"/>
  <c r="F116" i="85"/>
  <c r="E253" i="84"/>
  <c r="F222" i="84"/>
  <c r="F131" i="85"/>
  <c r="E308" i="84"/>
  <c r="F138" i="85"/>
  <c r="F139" i="85"/>
  <c r="F25" i="85"/>
  <c r="F24" i="85"/>
  <c r="H15" i="84"/>
  <c r="G15" i="84"/>
  <c r="F15" i="84"/>
  <c r="E15" i="84"/>
  <c r="D15" i="84"/>
  <c r="C15" i="84"/>
  <c r="B15" i="84"/>
  <c r="R24" i="68"/>
  <c r="B122" i="29"/>
  <c r="B137" i="29" s="1"/>
  <c r="B152" i="29" s="1"/>
  <c r="B167" i="29" s="1"/>
  <c r="C122" i="29"/>
  <c r="D122" i="29"/>
  <c r="E122" i="29"/>
  <c r="F122" i="29"/>
  <c r="G122" i="29"/>
  <c r="H122" i="29"/>
  <c r="I122" i="29"/>
  <c r="B123" i="29"/>
  <c r="B138" i="29" s="1"/>
  <c r="B153" i="29" s="1"/>
  <c r="B168" i="29" s="1"/>
  <c r="B124" i="29"/>
  <c r="B139" i="29" s="1"/>
  <c r="B154" i="29" s="1"/>
  <c r="B169" i="29" s="1"/>
  <c r="B125" i="29"/>
  <c r="B140" i="29" s="1"/>
  <c r="B155" i="29" s="1"/>
  <c r="B170" i="29" s="1"/>
  <c r="B126" i="29"/>
  <c r="B141" i="29" s="1"/>
  <c r="B156" i="29" s="1"/>
  <c r="B171" i="29" s="1"/>
  <c r="C126" i="29"/>
  <c r="D126" i="29"/>
  <c r="E126" i="29"/>
  <c r="F126" i="29"/>
  <c r="G126" i="29"/>
  <c r="H126" i="29"/>
  <c r="I126" i="29"/>
  <c r="B127" i="29"/>
  <c r="B142" i="29" s="1"/>
  <c r="B157" i="29" s="1"/>
  <c r="B172" i="29" s="1"/>
  <c r="B143" i="29"/>
  <c r="B158" i="29" s="1"/>
  <c r="B173" i="29" s="1"/>
  <c r="C137" i="29"/>
  <c r="D137" i="29"/>
  <c r="E137" i="29"/>
  <c r="F137" i="29"/>
  <c r="G137" i="29"/>
  <c r="H137" i="29"/>
  <c r="I137" i="29"/>
  <c r="C141" i="29"/>
  <c r="D141" i="29"/>
  <c r="E141" i="29"/>
  <c r="F141" i="29"/>
  <c r="G141" i="29"/>
  <c r="H141" i="29"/>
  <c r="I141" i="29"/>
  <c r="C152" i="29"/>
  <c r="D152" i="29"/>
  <c r="E152" i="29"/>
  <c r="F152" i="29"/>
  <c r="G152" i="29"/>
  <c r="H152" i="29"/>
  <c r="I152" i="29"/>
  <c r="C156" i="29"/>
  <c r="D156" i="29"/>
  <c r="E156" i="29"/>
  <c r="F156" i="29"/>
  <c r="G156" i="29"/>
  <c r="H156" i="29"/>
  <c r="I156" i="29"/>
  <c r="C167" i="29"/>
  <c r="D167" i="29"/>
  <c r="E167" i="29"/>
  <c r="F167" i="29"/>
  <c r="G167" i="29"/>
  <c r="H167" i="29"/>
  <c r="I167" i="29"/>
  <c r="C171" i="29"/>
  <c r="D171" i="29"/>
  <c r="E171" i="29"/>
  <c r="F171" i="29"/>
  <c r="G171" i="29"/>
  <c r="H171" i="29"/>
  <c r="I171" i="29"/>
  <c r="D16" i="22"/>
  <c r="D9" i="22"/>
  <c r="E3" i="22"/>
  <c r="E16" i="22" s="1"/>
  <c r="D120" i="84"/>
  <c r="C10" i="22"/>
  <c r="J102" i="84"/>
  <c r="B403" i="84"/>
  <c r="B398" i="84"/>
  <c r="B393" i="84"/>
  <c r="B388" i="84"/>
  <c r="B383" i="84"/>
  <c r="A402" i="84"/>
  <c r="A397" i="84"/>
  <c r="A392" i="84"/>
  <c r="A387" i="84"/>
  <c r="A382" i="84"/>
  <c r="B472" i="84"/>
  <c r="H403" i="84"/>
  <c r="B460" i="84"/>
  <c r="H398" i="84"/>
  <c r="B448" i="84"/>
  <c r="B436" i="84"/>
  <c r="H388" i="84"/>
  <c r="B424" i="84"/>
  <c r="C383" i="84"/>
  <c r="C190" i="84"/>
  <c r="C186" i="84"/>
  <c r="C181" i="84"/>
  <c r="C175" i="84"/>
  <c r="C171" i="84"/>
  <c r="C149" i="84"/>
  <c r="C143" i="84"/>
  <c r="C139" i="84"/>
  <c r="C135" i="84"/>
  <c r="L75" i="61"/>
  <c r="K75" i="61"/>
  <c r="H75" i="61"/>
  <c r="G75" i="61"/>
  <c r="G57" i="57"/>
  <c r="C15" i="22"/>
  <c r="C14" i="22"/>
  <c r="C12" i="22"/>
  <c r="C11" i="22"/>
  <c r="D8" i="22"/>
  <c r="E8" i="22" s="1"/>
  <c r="F8" i="22" s="1"/>
  <c r="G8" i="22" s="1"/>
  <c r="H8" i="22" s="1"/>
  <c r="I8" i="22" s="1"/>
  <c r="C7" i="22"/>
  <c r="C6" i="22"/>
  <c r="D6" i="22" s="1"/>
  <c r="C83" i="84"/>
  <c r="B360" i="84"/>
  <c r="B362" i="84" s="1"/>
  <c r="B367" i="84" s="1"/>
  <c r="C367" i="84" s="1"/>
  <c r="D367" i="84" s="1"/>
  <c r="E367" i="84" s="1"/>
  <c r="F367" i="84" s="1"/>
  <c r="G367" i="84" s="1"/>
  <c r="H367" i="84" s="1"/>
  <c r="D91" i="84"/>
  <c r="C345" i="84"/>
  <c r="D344" i="84" s="1"/>
  <c r="I330" i="84"/>
  <c r="H330" i="84"/>
  <c r="G330" i="84"/>
  <c r="F330" i="84"/>
  <c r="E330" i="84"/>
  <c r="D330" i="84"/>
  <c r="C330" i="84"/>
  <c r="C324" i="84"/>
  <c r="C320" i="84"/>
  <c r="D319" i="84" s="1"/>
  <c r="D320" i="84"/>
  <c r="E319" i="84" s="1"/>
  <c r="E175" i="84"/>
  <c r="I300" i="84"/>
  <c r="H300" i="84"/>
  <c r="G300" i="84"/>
  <c r="F300" i="84"/>
  <c r="E300" i="84"/>
  <c r="D300" i="84"/>
  <c r="C300" i="84"/>
  <c r="C294" i="84"/>
  <c r="C288" i="84"/>
  <c r="D254" i="84"/>
  <c r="C246" i="84"/>
  <c r="C235" i="84"/>
  <c r="D234" i="84" s="1"/>
  <c r="D235" i="84"/>
  <c r="E234" i="84" s="1"/>
  <c r="I214" i="84"/>
  <c r="H214" i="84"/>
  <c r="G214" i="84"/>
  <c r="F214" i="84"/>
  <c r="E214" i="84"/>
  <c r="D214" i="84"/>
  <c r="C214" i="84"/>
  <c r="C208" i="84"/>
  <c r="B189" i="84"/>
  <c r="B337" i="84" s="1"/>
  <c r="B343" i="84" s="1"/>
  <c r="B185" i="84"/>
  <c r="B180" i="84"/>
  <c r="B299" i="84" s="1"/>
  <c r="B308" i="84" s="1"/>
  <c r="B174" i="84"/>
  <c r="B293" i="84" s="1"/>
  <c r="B314" i="84" s="1"/>
  <c r="B170" i="84"/>
  <c r="B287" i="84" s="1"/>
  <c r="B306" i="84" s="1"/>
  <c r="B310" i="84" s="1"/>
  <c r="B158" i="84"/>
  <c r="B142" i="84"/>
  <c r="B213" i="84" s="1"/>
  <c r="B233" i="84" s="1"/>
  <c r="B138" i="84"/>
  <c r="B207" i="84" s="1"/>
  <c r="B229" i="84" s="1"/>
  <c r="B134" i="84"/>
  <c r="B199" i="84" s="1"/>
  <c r="B221" i="84" s="1"/>
  <c r="B225" i="84" s="1"/>
  <c r="B153" i="84"/>
  <c r="B245" i="84" s="1"/>
  <c r="B254" i="84" s="1"/>
  <c r="B148" i="84"/>
  <c r="B239" i="84" s="1"/>
  <c r="B253" i="84" s="1"/>
  <c r="B256" i="84" s="1"/>
  <c r="G130" i="85" l="1"/>
  <c r="G307" i="84" s="1"/>
  <c r="N78" i="61"/>
  <c r="F78" i="61"/>
  <c r="J78" i="61"/>
  <c r="J80" i="61" s="1"/>
  <c r="J82" i="61" s="1"/>
  <c r="G129" i="85"/>
  <c r="F306" i="84"/>
  <c r="G124" i="85"/>
  <c r="F336" i="84"/>
  <c r="F159" i="84" s="1"/>
  <c r="B265" i="84"/>
  <c r="B280" i="84" s="1"/>
  <c r="B282" i="84" s="1"/>
  <c r="B323" i="84"/>
  <c r="B336" i="84" s="1"/>
  <c r="B339" i="84" s="1"/>
  <c r="G221" i="84"/>
  <c r="G135" i="84" s="1"/>
  <c r="H222" i="85"/>
  <c r="F489" i="84"/>
  <c r="F223" i="84"/>
  <c r="H487" i="84"/>
  <c r="G98" i="85"/>
  <c r="E446" i="84"/>
  <c r="E393" i="84" s="1"/>
  <c r="G131" i="85"/>
  <c r="F308" i="84"/>
  <c r="H111" i="85"/>
  <c r="G223" i="84"/>
  <c r="G116" i="85"/>
  <c r="F253" i="84"/>
  <c r="G138" i="85"/>
  <c r="G222" i="84"/>
  <c r="G139" i="85"/>
  <c r="G24" i="85"/>
  <c r="G25" i="85"/>
  <c r="E78" i="61"/>
  <c r="E80" i="61" s="1"/>
  <c r="E82" i="61" s="1"/>
  <c r="I78" i="61"/>
  <c r="M78" i="61"/>
  <c r="M80" i="61" s="1"/>
  <c r="M82" i="61" s="1"/>
  <c r="C13" i="22"/>
  <c r="D13" i="22" s="1"/>
  <c r="D119" i="84"/>
  <c r="B17" i="21"/>
  <c r="D190" i="84"/>
  <c r="D345" i="84"/>
  <c r="E344" i="84" s="1"/>
  <c r="E190" i="84"/>
  <c r="E345" i="84"/>
  <c r="F344" i="84" s="1"/>
  <c r="F3" i="22"/>
  <c r="F15" i="22" s="1"/>
  <c r="E7" i="22"/>
  <c r="D10" i="22"/>
  <c r="D12" i="22"/>
  <c r="E14" i="22"/>
  <c r="E10" i="22"/>
  <c r="E12" i="22"/>
  <c r="D14" i="22"/>
  <c r="E15" i="22"/>
  <c r="E6" i="22"/>
  <c r="E9" i="22"/>
  <c r="D11" i="22"/>
  <c r="D15" i="22"/>
  <c r="D7" i="22"/>
  <c r="E11" i="22"/>
  <c r="F102" i="84"/>
  <c r="G102" i="84"/>
  <c r="H102" i="84"/>
  <c r="E102" i="84"/>
  <c r="I102" i="84"/>
  <c r="C398" i="84"/>
  <c r="E398" i="84"/>
  <c r="C388" i="84"/>
  <c r="C403" i="84"/>
  <c r="B475" i="84"/>
  <c r="D109" i="84" s="1"/>
  <c r="C393" i="84"/>
  <c r="D388" i="84"/>
  <c r="D393" i="84"/>
  <c r="D398" i="84"/>
  <c r="D403" i="84"/>
  <c r="E388" i="84"/>
  <c r="E403" i="84"/>
  <c r="F388" i="84"/>
  <c r="F398" i="84"/>
  <c r="F403" i="84"/>
  <c r="G388" i="84"/>
  <c r="G398" i="84"/>
  <c r="G403" i="84"/>
  <c r="D135" i="84"/>
  <c r="E186" i="84"/>
  <c r="D175" i="84"/>
  <c r="D139" i="84"/>
  <c r="D149" i="84"/>
  <c r="D181" i="84"/>
  <c r="D143" i="84"/>
  <c r="D186" i="84"/>
  <c r="D171" i="84"/>
  <c r="F135" i="84"/>
  <c r="E135" i="84"/>
  <c r="E149" i="84"/>
  <c r="E171" i="84"/>
  <c r="F171" i="84"/>
  <c r="D383" i="84"/>
  <c r="F80" i="61"/>
  <c r="F82" i="61" s="1"/>
  <c r="N80" i="61"/>
  <c r="N82" i="61" s="1"/>
  <c r="I80" i="61"/>
  <c r="I82" i="61" s="1"/>
  <c r="E75" i="61"/>
  <c r="I75" i="61"/>
  <c r="M75" i="61"/>
  <c r="G78" i="61"/>
  <c r="K78" i="61"/>
  <c r="F75" i="61"/>
  <c r="J75" i="61"/>
  <c r="N75" i="61"/>
  <c r="H78" i="61"/>
  <c r="L78" i="61"/>
  <c r="C369" i="84"/>
  <c r="D369" i="84"/>
  <c r="E369" i="84"/>
  <c r="B369" i="84"/>
  <c r="F369" i="84"/>
  <c r="E254" i="84"/>
  <c r="B260" i="84"/>
  <c r="B223" i="84"/>
  <c r="B222" i="84"/>
  <c r="F175" i="84"/>
  <c r="B307" i="84"/>
  <c r="B318" i="84"/>
  <c r="B17" i="84"/>
  <c r="B33" i="84" s="1"/>
  <c r="H130" i="85" l="1"/>
  <c r="H307" i="84" s="1"/>
  <c r="H129" i="85"/>
  <c r="G306" i="84"/>
  <c r="G171" i="84" s="1"/>
  <c r="F186" i="84"/>
  <c r="H124" i="85"/>
  <c r="G336" i="84"/>
  <c r="G159" i="84" s="1"/>
  <c r="F149" i="84"/>
  <c r="H221" i="84"/>
  <c r="H135" i="84" s="1"/>
  <c r="I222" i="85"/>
  <c r="G489" i="84"/>
  <c r="C17" i="22"/>
  <c r="C18" i="22" s="1"/>
  <c r="B39" i="21" s="1"/>
  <c r="I487" i="84"/>
  <c r="H98" i="85"/>
  <c r="F446" i="84"/>
  <c r="F393" i="84" s="1"/>
  <c r="H138" i="85"/>
  <c r="H222" i="84"/>
  <c r="I111" i="85"/>
  <c r="H223" i="84"/>
  <c r="H116" i="85"/>
  <c r="G253" i="84"/>
  <c r="H131" i="85"/>
  <c r="G308" i="84"/>
  <c r="G345" i="84"/>
  <c r="H344" i="84" s="1"/>
  <c r="H139" i="85"/>
  <c r="H25" i="85"/>
  <c r="H24" i="85"/>
  <c r="E13" i="22"/>
  <c r="F190" i="84"/>
  <c r="F345" i="84"/>
  <c r="G344" i="84" s="1"/>
  <c r="F10" i="22"/>
  <c r="F14" i="22"/>
  <c r="F7" i="22"/>
  <c r="F11" i="22"/>
  <c r="F12" i="22"/>
  <c r="G3" i="22"/>
  <c r="F16" i="22"/>
  <c r="F6" i="22"/>
  <c r="F13" i="22"/>
  <c r="F9" i="22"/>
  <c r="B36" i="84"/>
  <c r="B32" i="84"/>
  <c r="B35" i="81" s="1"/>
  <c r="B35" i="84"/>
  <c r="B37" i="81" s="1"/>
  <c r="B34" i="84"/>
  <c r="R34" i="84" s="1"/>
  <c r="B36" i="81"/>
  <c r="F254" i="84"/>
  <c r="E139" i="84"/>
  <c r="E235" i="84"/>
  <c r="F234" i="84" s="1"/>
  <c r="E143" i="84"/>
  <c r="F320" i="84"/>
  <c r="G319" i="84" s="1"/>
  <c r="E181" i="84"/>
  <c r="E383" i="84"/>
  <c r="K80" i="61"/>
  <c r="K82" i="61" s="1"/>
  <c r="G80" i="61"/>
  <c r="G82" i="61" s="1"/>
  <c r="H80" i="61"/>
  <c r="H82" i="61" s="1"/>
  <c r="L80" i="61"/>
  <c r="L82" i="61" s="1"/>
  <c r="G369" i="84"/>
  <c r="E320" i="84"/>
  <c r="F319" i="84" s="1"/>
  <c r="G175" i="84"/>
  <c r="C17" i="84"/>
  <c r="B22" i="84"/>
  <c r="J32" i="84" s="1"/>
  <c r="B26" i="81" s="1"/>
  <c r="C16" i="84"/>
  <c r="I130" i="85" l="1"/>
  <c r="I307" i="84" s="1"/>
  <c r="J44" i="84"/>
  <c r="J59" i="84" s="1"/>
  <c r="J42" i="84"/>
  <c r="J57" i="84" s="1"/>
  <c r="J43" i="84"/>
  <c r="J58" i="84" s="1"/>
  <c r="B417" i="84"/>
  <c r="J33" i="84"/>
  <c r="B27" i="81" s="1"/>
  <c r="J35" i="84"/>
  <c r="R32" i="84"/>
  <c r="B36" i="83"/>
  <c r="I129" i="85"/>
  <c r="H306" i="84"/>
  <c r="H171" i="84" s="1"/>
  <c r="I124" i="85"/>
  <c r="H336" i="84"/>
  <c r="H159" i="84" s="1"/>
  <c r="G186" i="84"/>
  <c r="G149" i="84"/>
  <c r="B70" i="84"/>
  <c r="D83" i="84"/>
  <c r="B14" i="21" s="1"/>
  <c r="I221" i="84"/>
  <c r="I135" i="84" s="1"/>
  <c r="J16" i="83"/>
  <c r="B53" i="84"/>
  <c r="D17" i="22"/>
  <c r="D18" i="22" s="1"/>
  <c r="C39" i="21" s="1"/>
  <c r="H489" i="84"/>
  <c r="J222" i="85"/>
  <c r="I489" i="84" s="1"/>
  <c r="G17" i="22"/>
  <c r="F17" i="22"/>
  <c r="J14" i="83"/>
  <c r="J15" i="83"/>
  <c r="J18" i="83"/>
  <c r="B35" i="83"/>
  <c r="E17" i="22"/>
  <c r="E18" i="22" s="1"/>
  <c r="I98" i="85"/>
  <c r="G446" i="84"/>
  <c r="G393" i="84" s="1"/>
  <c r="I138" i="85"/>
  <c r="I131" i="85"/>
  <c r="H308" i="84"/>
  <c r="J111" i="85"/>
  <c r="K111" i="85" s="1"/>
  <c r="L111" i="85" s="1"/>
  <c r="I223" i="84"/>
  <c r="I116" i="85"/>
  <c r="H253" i="84"/>
  <c r="I222" i="84"/>
  <c r="G190" i="84"/>
  <c r="I139" i="85"/>
  <c r="H345" i="84"/>
  <c r="I344" i="84" s="1"/>
  <c r="I25" i="85"/>
  <c r="I24" i="85"/>
  <c r="B454" i="84"/>
  <c r="B430" i="84"/>
  <c r="B466" i="84"/>
  <c r="H3" i="22"/>
  <c r="G15" i="22"/>
  <c r="G12" i="22"/>
  <c r="G16" i="22"/>
  <c r="G9" i="22"/>
  <c r="G13" i="22"/>
  <c r="G6" i="22"/>
  <c r="G11" i="22"/>
  <c r="G14" i="22"/>
  <c r="G7" i="22"/>
  <c r="G10" i="22"/>
  <c r="B37" i="84"/>
  <c r="D103" i="84" s="1"/>
  <c r="B54" i="84"/>
  <c r="B442" i="84"/>
  <c r="C34" i="84"/>
  <c r="S34" i="84" s="1"/>
  <c r="C33" i="84"/>
  <c r="C36" i="81" s="1"/>
  <c r="C36" i="84"/>
  <c r="C466" i="84" s="1"/>
  <c r="C32" i="84"/>
  <c r="C35" i="81" s="1"/>
  <c r="C33" i="81" s="1"/>
  <c r="C35" i="84"/>
  <c r="C37" i="81" s="1"/>
  <c r="B58" i="84"/>
  <c r="B57" i="84"/>
  <c r="B59" i="84"/>
  <c r="R59" i="84" s="1"/>
  <c r="B44" i="84"/>
  <c r="B43" i="84"/>
  <c r="B42" i="84"/>
  <c r="B48" i="84"/>
  <c r="B49" i="84"/>
  <c r="B47" i="84"/>
  <c r="B64" i="84"/>
  <c r="B63" i="84"/>
  <c r="B62" i="84"/>
  <c r="G139" i="84"/>
  <c r="F139" i="84"/>
  <c r="G143" i="84"/>
  <c r="F143" i="84"/>
  <c r="F181" i="84"/>
  <c r="G254" i="84"/>
  <c r="F383" i="84"/>
  <c r="F235" i="84"/>
  <c r="G234" i="84" s="1"/>
  <c r="H369" i="84"/>
  <c r="H175" i="84"/>
  <c r="D17" i="84"/>
  <c r="B69" i="84"/>
  <c r="B24" i="84"/>
  <c r="D16" i="84"/>
  <c r="C22" i="84"/>
  <c r="R35" i="84" l="1"/>
  <c r="B28" i="81"/>
  <c r="R57" i="84"/>
  <c r="J130" i="85"/>
  <c r="K130" i="85" s="1"/>
  <c r="L130" i="85" s="1"/>
  <c r="C201" i="84"/>
  <c r="R42" i="84"/>
  <c r="C247" i="84"/>
  <c r="C249" i="84" s="1"/>
  <c r="D246" i="84" s="1"/>
  <c r="C241" i="84"/>
  <c r="C209" i="84"/>
  <c r="C211" i="84" s="1"/>
  <c r="D208" i="84" s="1"/>
  <c r="R43" i="84"/>
  <c r="C295" i="84"/>
  <c r="C297" i="84" s="1"/>
  <c r="D294" i="84" s="1"/>
  <c r="R58" i="84"/>
  <c r="C216" i="84"/>
  <c r="C142" i="84" s="1"/>
  <c r="C144" i="84" s="1"/>
  <c r="R44" i="84"/>
  <c r="R33" i="84"/>
  <c r="J48" i="84"/>
  <c r="R48" i="84" s="1"/>
  <c r="J47" i="84"/>
  <c r="R47" i="84" s="1"/>
  <c r="J49" i="84"/>
  <c r="R49" i="84" s="1"/>
  <c r="C289" i="84"/>
  <c r="C291" i="84" s="1"/>
  <c r="C290" i="84" s="1"/>
  <c r="C170" i="84" s="1"/>
  <c r="C172" i="84" s="1"/>
  <c r="D99" i="84"/>
  <c r="C454" i="84"/>
  <c r="K33" i="84"/>
  <c r="C27" i="81" s="1"/>
  <c r="K35" i="84"/>
  <c r="K32" i="84"/>
  <c r="C26" i="81" s="1"/>
  <c r="C24" i="81" s="1"/>
  <c r="B71" i="84"/>
  <c r="H186" i="84"/>
  <c r="J129" i="85"/>
  <c r="K129" i="85" s="1"/>
  <c r="L129" i="85" s="1"/>
  <c r="I306" i="84"/>
  <c r="I171" i="84" s="1"/>
  <c r="J124" i="85"/>
  <c r="K124" i="85" s="1"/>
  <c r="L124" i="85" s="1"/>
  <c r="I336" i="84"/>
  <c r="I159" i="84" s="1"/>
  <c r="C331" i="84"/>
  <c r="C332" i="84" s="1"/>
  <c r="C191" i="84" s="1"/>
  <c r="H149" i="84"/>
  <c r="C302" i="84"/>
  <c r="C180" i="84" s="1"/>
  <c r="C182" i="84" s="1"/>
  <c r="C273" i="84"/>
  <c r="C274" i="84" s="1"/>
  <c r="C164" i="84" s="1"/>
  <c r="C166" i="84" s="1"/>
  <c r="C442" i="84"/>
  <c r="C53" i="84"/>
  <c r="B455" i="84"/>
  <c r="B453" i="84" s="1"/>
  <c r="B397" i="84" s="1"/>
  <c r="B400" i="84" s="1"/>
  <c r="C430" i="84"/>
  <c r="B39" i="83"/>
  <c r="J98" i="85"/>
  <c r="K98" i="85" s="1"/>
  <c r="L98" i="85" s="1"/>
  <c r="H446" i="84"/>
  <c r="H393" i="84" s="1"/>
  <c r="J138" i="85"/>
  <c r="K138" i="85" s="1"/>
  <c r="L138" i="85" s="1"/>
  <c r="J116" i="85"/>
  <c r="K116" i="85" s="1"/>
  <c r="L116" i="85" s="1"/>
  <c r="I253" i="84"/>
  <c r="J131" i="85"/>
  <c r="K131" i="85" s="1"/>
  <c r="L131" i="85" s="1"/>
  <c r="I308" i="84"/>
  <c r="H190" i="84"/>
  <c r="J139" i="85"/>
  <c r="K139" i="85" s="1"/>
  <c r="L139" i="85" s="1"/>
  <c r="I190" i="84"/>
  <c r="J24" i="85"/>
  <c r="K24" i="85" s="1"/>
  <c r="L24" i="85" s="1"/>
  <c r="J25" i="85"/>
  <c r="K25" i="85" s="1"/>
  <c r="L25" i="85" s="1"/>
  <c r="I3" i="22"/>
  <c r="H13" i="22"/>
  <c r="H9" i="22"/>
  <c r="H16" i="22"/>
  <c r="H6" i="22"/>
  <c r="H14" i="22"/>
  <c r="H12" i="22"/>
  <c r="H10" i="22"/>
  <c r="H15" i="22"/>
  <c r="H7" i="22"/>
  <c r="H11" i="22"/>
  <c r="H17" i="22"/>
  <c r="D39" i="21"/>
  <c r="C37" i="84"/>
  <c r="E103" i="84" s="1"/>
  <c r="G235" i="84"/>
  <c r="H234" i="84" s="1"/>
  <c r="H139" i="84"/>
  <c r="B443" i="84"/>
  <c r="B431" i="84"/>
  <c r="B467" i="84"/>
  <c r="C42" i="84"/>
  <c r="C417" i="84"/>
  <c r="C43" i="84"/>
  <c r="C44" i="84"/>
  <c r="C64" i="84"/>
  <c r="C63" i="84"/>
  <c r="C62" i="84"/>
  <c r="B418" i="84"/>
  <c r="B416" i="84" s="1"/>
  <c r="B382" i="84" s="1"/>
  <c r="B385" i="84" s="1"/>
  <c r="C48" i="84"/>
  <c r="C47" i="84"/>
  <c r="C49" i="84"/>
  <c r="C59" i="84"/>
  <c r="C57" i="84"/>
  <c r="C58" i="84"/>
  <c r="C52" i="84"/>
  <c r="D325" i="84" s="1"/>
  <c r="C54" i="84"/>
  <c r="H143" i="84"/>
  <c r="D36" i="84"/>
  <c r="D466" i="84" s="1"/>
  <c r="D34" i="84"/>
  <c r="T34" i="84" s="1"/>
  <c r="D32" i="84"/>
  <c r="D35" i="81" s="1"/>
  <c r="D33" i="81" s="1"/>
  <c r="D35" i="84"/>
  <c r="D37" i="81" s="1"/>
  <c r="D33" i="84"/>
  <c r="D36" i="81" s="1"/>
  <c r="H254" i="84"/>
  <c r="G181" i="84"/>
  <c r="G320" i="84"/>
  <c r="H319" i="84" s="1"/>
  <c r="G383" i="84"/>
  <c r="F18" i="22"/>
  <c r="I175" i="84"/>
  <c r="C70" i="84"/>
  <c r="C467" i="84" s="1"/>
  <c r="E17" i="84"/>
  <c r="C69" i="84"/>
  <c r="C24" i="84"/>
  <c r="E16" i="84"/>
  <c r="D22" i="84"/>
  <c r="S35" i="84" l="1"/>
  <c r="C28" i="81"/>
  <c r="J35" i="81"/>
  <c r="H20" i="81"/>
  <c r="J34" i="81"/>
  <c r="C231" i="84"/>
  <c r="D230" i="84" s="1"/>
  <c r="C248" i="84"/>
  <c r="C153" i="84" s="1"/>
  <c r="C155" i="84" s="1"/>
  <c r="C210" i="84"/>
  <c r="C138" i="84" s="1"/>
  <c r="C140" i="84" s="1"/>
  <c r="C262" i="84"/>
  <c r="D261" i="84" s="1"/>
  <c r="C316" i="84"/>
  <c r="C296" i="84"/>
  <c r="C174" i="84" s="1"/>
  <c r="C176" i="84" s="1"/>
  <c r="R50" i="84"/>
  <c r="Q49" i="84" s="1"/>
  <c r="D241" i="84"/>
  <c r="D247" i="84"/>
  <c r="D249" i="84" s="1"/>
  <c r="D248" i="84" s="1"/>
  <c r="D153" i="84" s="1"/>
  <c r="D155" i="84" s="1"/>
  <c r="D201" i="84"/>
  <c r="S33" i="84"/>
  <c r="K48" i="84"/>
  <c r="S48" i="84" s="1"/>
  <c r="K49" i="84"/>
  <c r="S49" i="84" s="1"/>
  <c r="K47" i="84"/>
  <c r="S47" i="84" s="1"/>
  <c r="D216" i="84"/>
  <c r="D142" i="84" s="1"/>
  <c r="D144" i="84" s="1"/>
  <c r="R45" i="84"/>
  <c r="Q42" i="84" s="1"/>
  <c r="D295" i="84"/>
  <c r="D297" i="84" s="1"/>
  <c r="D296" i="84" s="1"/>
  <c r="D174" i="84" s="1"/>
  <c r="D176" i="84" s="1"/>
  <c r="D209" i="84"/>
  <c r="D211" i="84" s="1"/>
  <c r="D210" i="84" s="1"/>
  <c r="D138" i="84" s="1"/>
  <c r="D140" i="84" s="1"/>
  <c r="S32" i="84"/>
  <c r="K43" i="84"/>
  <c r="K58" i="84" s="1"/>
  <c r="S58" i="84" s="1"/>
  <c r="K42" i="84"/>
  <c r="K57" i="84" s="1"/>
  <c r="S57" i="84" s="1"/>
  <c r="K44" i="84"/>
  <c r="K59" i="84" s="1"/>
  <c r="S59" i="84" s="1"/>
  <c r="D454" i="84"/>
  <c r="D289" i="84"/>
  <c r="E99" i="84"/>
  <c r="L33" i="84"/>
  <c r="D27" i="81" s="1"/>
  <c r="L35" i="84"/>
  <c r="L32" i="84"/>
  <c r="D26" i="81" s="1"/>
  <c r="D24" i="81" s="1"/>
  <c r="D315" i="84"/>
  <c r="C71" i="84"/>
  <c r="I186" i="84"/>
  <c r="I149" i="84"/>
  <c r="D331" i="84"/>
  <c r="D332" i="84" s="1"/>
  <c r="D191" i="84" s="1"/>
  <c r="C483" i="84"/>
  <c r="C488" i="84" s="1"/>
  <c r="D302" i="84"/>
  <c r="D180" i="84" s="1"/>
  <c r="D182" i="84" s="1"/>
  <c r="D273" i="84"/>
  <c r="D274" i="84" s="1"/>
  <c r="D164" i="84" s="1"/>
  <c r="D166" i="84" s="1"/>
  <c r="C203" i="84"/>
  <c r="C227" i="84" s="1"/>
  <c r="C452" i="84"/>
  <c r="D442" i="84"/>
  <c r="D53" i="84"/>
  <c r="B461" i="84"/>
  <c r="D430" i="84"/>
  <c r="I345" i="84"/>
  <c r="I16" i="22"/>
  <c r="I9" i="22"/>
  <c r="I15" i="22"/>
  <c r="I12" i="22"/>
  <c r="I14" i="22"/>
  <c r="I10" i="22"/>
  <c r="I7" i="22"/>
  <c r="I6" i="22"/>
  <c r="I13" i="22"/>
  <c r="I11" i="22"/>
  <c r="I17" i="22"/>
  <c r="E39" i="21"/>
  <c r="I139" i="84"/>
  <c r="D417" i="84"/>
  <c r="D37" i="84"/>
  <c r="F103" i="84" s="1"/>
  <c r="I143" i="84"/>
  <c r="B473" i="84"/>
  <c r="C472" i="84" s="1"/>
  <c r="C464" i="84"/>
  <c r="C465" i="84" s="1"/>
  <c r="C402" i="84" s="1"/>
  <c r="C405" i="84" s="1"/>
  <c r="B465" i="84"/>
  <c r="B402" i="84" s="1"/>
  <c r="B405" i="84" s="1"/>
  <c r="C428" i="84"/>
  <c r="B437" i="84"/>
  <c r="C436" i="84" s="1"/>
  <c r="B429" i="84"/>
  <c r="B387" i="84" s="1"/>
  <c r="B390" i="84" s="1"/>
  <c r="C440" i="84"/>
  <c r="B449" i="84"/>
  <c r="C448" i="84" s="1"/>
  <c r="B441" i="84"/>
  <c r="B392" i="84" s="1"/>
  <c r="B395" i="84" s="1"/>
  <c r="D464" i="84"/>
  <c r="C473" i="84"/>
  <c r="D472" i="84" s="1"/>
  <c r="C455" i="84"/>
  <c r="C431" i="84"/>
  <c r="C443" i="84"/>
  <c r="B425" i="84"/>
  <c r="C415" i="84"/>
  <c r="C418" i="84"/>
  <c r="H235" i="84"/>
  <c r="I234" i="84" s="1"/>
  <c r="I254" i="84"/>
  <c r="D43" i="84"/>
  <c r="D44" i="84"/>
  <c r="D42" i="84"/>
  <c r="D52" i="84"/>
  <c r="E325" i="84" s="1"/>
  <c r="D54" i="84"/>
  <c r="D59" i="84"/>
  <c r="D57" i="84"/>
  <c r="D58" i="84"/>
  <c r="H181" i="84"/>
  <c r="H320" i="84"/>
  <c r="I319" i="84" s="1"/>
  <c r="E36" i="84"/>
  <c r="E466" i="84" s="1"/>
  <c r="E34" i="84"/>
  <c r="U34" i="84" s="1"/>
  <c r="E32" i="84"/>
  <c r="E35" i="81" s="1"/>
  <c r="E33" i="81" s="1"/>
  <c r="E35" i="84"/>
  <c r="E37" i="81" s="1"/>
  <c r="E33" i="84"/>
  <c r="E36" i="81" s="1"/>
  <c r="D49" i="84"/>
  <c r="D48" i="84"/>
  <c r="D47" i="84"/>
  <c r="D63" i="84"/>
  <c r="D64" i="84"/>
  <c r="D62" i="84"/>
  <c r="H383" i="84"/>
  <c r="G18" i="22"/>
  <c r="C312" i="84"/>
  <c r="D311" i="84" s="1"/>
  <c r="D288" i="84"/>
  <c r="D70" i="84"/>
  <c r="F17" i="84"/>
  <c r="D24" i="84"/>
  <c r="D69" i="84"/>
  <c r="F16" i="84"/>
  <c r="E22" i="84"/>
  <c r="T35" i="84" l="1"/>
  <c r="D28" i="81"/>
  <c r="Q47" i="84"/>
  <c r="Q44" i="84"/>
  <c r="Q48" i="84"/>
  <c r="Q43" i="84"/>
  <c r="S42" i="84"/>
  <c r="S44" i="84"/>
  <c r="E201" i="84"/>
  <c r="T32" i="84"/>
  <c r="L43" i="84"/>
  <c r="L58" i="84" s="1"/>
  <c r="T58" i="84" s="1"/>
  <c r="L42" i="84"/>
  <c r="L57" i="84" s="1"/>
  <c r="T57" i="84" s="1"/>
  <c r="L44" i="84"/>
  <c r="L59" i="84" s="1"/>
  <c r="T59" i="84" s="1"/>
  <c r="E216" i="84"/>
  <c r="E142" i="84" s="1"/>
  <c r="E144" i="84" s="1"/>
  <c r="S43" i="84"/>
  <c r="E295" i="84"/>
  <c r="E241" i="84"/>
  <c r="E247" i="84"/>
  <c r="E209" i="84"/>
  <c r="T33" i="84"/>
  <c r="L49" i="84"/>
  <c r="T49" i="84" s="1"/>
  <c r="L47" i="84"/>
  <c r="T47" i="84" s="1"/>
  <c r="L48" i="84"/>
  <c r="T48" i="84" s="1"/>
  <c r="D291" i="84"/>
  <c r="D290" i="84" s="1"/>
  <c r="D170" i="84" s="1"/>
  <c r="D172" i="84" s="1"/>
  <c r="M35" i="84"/>
  <c r="M32" i="84"/>
  <c r="M33" i="84"/>
  <c r="E27" i="81" s="1"/>
  <c r="E289" i="84"/>
  <c r="F99" i="84"/>
  <c r="E454" i="84"/>
  <c r="E294" i="84"/>
  <c r="D316" i="84"/>
  <c r="D231" i="84"/>
  <c r="E230" i="84" s="1"/>
  <c r="E208" i="84"/>
  <c r="E246" i="84"/>
  <c r="D262" i="84"/>
  <c r="E261" i="84" s="1"/>
  <c r="D71" i="84"/>
  <c r="C460" i="84"/>
  <c r="B476" i="84"/>
  <c r="D110" i="84" s="1"/>
  <c r="D106" i="84"/>
  <c r="E331" i="84"/>
  <c r="E332" i="84" s="1"/>
  <c r="E191" i="84" s="1"/>
  <c r="D104" i="84"/>
  <c r="D98" i="84"/>
  <c r="C485" i="84"/>
  <c r="D101" i="84"/>
  <c r="D100" i="84"/>
  <c r="E302" i="84"/>
  <c r="E180" i="84" s="1"/>
  <c r="E182" i="84" s="1"/>
  <c r="E273" i="84"/>
  <c r="E274" i="84" s="1"/>
  <c r="E164" i="84" s="1"/>
  <c r="E166" i="84" s="1"/>
  <c r="D267" i="84"/>
  <c r="C202" i="84"/>
  <c r="C134" i="84" s="1"/>
  <c r="C136" i="84" s="1"/>
  <c r="D200" i="84"/>
  <c r="E442" i="84"/>
  <c r="E53" i="84"/>
  <c r="E430" i="84"/>
  <c r="I235" i="84"/>
  <c r="F39" i="21"/>
  <c r="D418" i="84"/>
  <c r="D425" i="84" s="1"/>
  <c r="E417" i="84"/>
  <c r="E37" i="84"/>
  <c r="G103" i="84" s="1"/>
  <c r="B407" i="84"/>
  <c r="D97" i="84" s="1"/>
  <c r="D467" i="84"/>
  <c r="D465" i="84" s="1"/>
  <c r="D402" i="84" s="1"/>
  <c r="D405" i="84" s="1"/>
  <c r="C461" i="84"/>
  <c r="D452" i="84"/>
  <c r="C453" i="84"/>
  <c r="C397" i="84" s="1"/>
  <c r="C400" i="84" s="1"/>
  <c r="D431" i="84"/>
  <c r="D455" i="84"/>
  <c r="C429" i="84"/>
  <c r="C387" i="84" s="1"/>
  <c r="C390" i="84" s="1"/>
  <c r="D428" i="84"/>
  <c r="C437" i="84"/>
  <c r="D436" i="84" s="1"/>
  <c r="C449" i="84"/>
  <c r="D448" i="84" s="1"/>
  <c r="D440" i="84"/>
  <c r="C441" i="84"/>
  <c r="C392" i="84" s="1"/>
  <c r="C395" i="84" s="1"/>
  <c r="D443" i="84"/>
  <c r="C425" i="84"/>
  <c r="D415" i="84"/>
  <c r="C416" i="84"/>
  <c r="C382" i="84" s="1"/>
  <c r="C385" i="84" s="1"/>
  <c r="C424" i="84"/>
  <c r="E47" i="84"/>
  <c r="E49" i="84"/>
  <c r="E48" i="84"/>
  <c r="E58" i="84"/>
  <c r="E59" i="84"/>
  <c r="E57" i="84"/>
  <c r="E52" i="84"/>
  <c r="F325" i="84" s="1"/>
  <c r="E54" i="84"/>
  <c r="E63" i="84"/>
  <c r="E64" i="84"/>
  <c r="E62" i="84"/>
  <c r="F35" i="84"/>
  <c r="F37" i="81" s="1"/>
  <c r="F33" i="84"/>
  <c r="F36" i="81" s="1"/>
  <c r="F36" i="84"/>
  <c r="F466" i="84" s="1"/>
  <c r="F34" i="84"/>
  <c r="V34" i="84" s="1"/>
  <c r="F32" i="84"/>
  <c r="F35" i="81" s="1"/>
  <c r="F33" i="81" s="1"/>
  <c r="E44" i="84"/>
  <c r="E43" i="84"/>
  <c r="E42" i="84"/>
  <c r="I181" i="84"/>
  <c r="I320" i="84"/>
  <c r="H18" i="22"/>
  <c r="E288" i="84"/>
  <c r="E291" i="84" s="1"/>
  <c r="E70" i="84"/>
  <c r="G17" i="84"/>
  <c r="F22" i="84"/>
  <c r="G16" i="84"/>
  <c r="E24" i="84"/>
  <c r="E69" i="84"/>
  <c r="D312" i="84" l="1"/>
  <c r="E311" i="84" s="1"/>
  <c r="U35" i="84"/>
  <c r="E28" i="81"/>
  <c r="U32" i="84"/>
  <c r="E26" i="81"/>
  <c r="E24" i="81" s="1"/>
  <c r="E211" i="84"/>
  <c r="F208" i="84" s="1"/>
  <c r="E297" i="84"/>
  <c r="E296" i="84" s="1"/>
  <c r="E174" i="84" s="1"/>
  <c r="E176" i="84" s="1"/>
  <c r="T43" i="84"/>
  <c r="E249" i="84"/>
  <c r="F246" i="84" s="1"/>
  <c r="T44" i="84"/>
  <c r="F295" i="84"/>
  <c r="M42" i="84"/>
  <c r="M57" i="84" s="1"/>
  <c r="U57" i="84" s="1"/>
  <c r="M44" i="84"/>
  <c r="M59" i="84" s="1"/>
  <c r="U59" i="84" s="1"/>
  <c r="M43" i="84"/>
  <c r="M58" i="84" s="1"/>
  <c r="U58" i="84" s="1"/>
  <c r="F241" i="84"/>
  <c r="F201" i="84"/>
  <c r="F247" i="84"/>
  <c r="T42" i="84"/>
  <c r="F216" i="84"/>
  <c r="F142" i="84" s="1"/>
  <c r="F144" i="84" s="1"/>
  <c r="U33" i="84"/>
  <c r="M49" i="84"/>
  <c r="U49" i="84" s="1"/>
  <c r="M47" i="84"/>
  <c r="U47" i="84" s="1"/>
  <c r="M48" i="84"/>
  <c r="U48" i="84" s="1"/>
  <c r="F209" i="84"/>
  <c r="E455" i="84"/>
  <c r="F452" i="84" s="1"/>
  <c r="F289" i="84"/>
  <c r="G99" i="84"/>
  <c r="N35" i="84"/>
  <c r="N33" i="84"/>
  <c r="F27" i="81" s="1"/>
  <c r="N32" i="84"/>
  <c r="F26" i="81" s="1"/>
  <c r="F454" i="84"/>
  <c r="E210" i="84"/>
  <c r="E138" i="84" s="1"/>
  <c r="E140" i="84" s="1"/>
  <c r="E315" i="84"/>
  <c r="E71" i="84"/>
  <c r="D460" i="84"/>
  <c r="C476" i="84"/>
  <c r="E110" i="84" s="1"/>
  <c r="F331" i="84"/>
  <c r="F332" i="84" s="1"/>
  <c r="F191" i="84" s="1"/>
  <c r="F302" i="84"/>
  <c r="F180" i="84" s="1"/>
  <c r="F182" i="84" s="1"/>
  <c r="F273" i="84"/>
  <c r="F274" i="84" s="1"/>
  <c r="F164" i="84" s="1"/>
  <c r="F166" i="84" s="1"/>
  <c r="E267" i="84"/>
  <c r="E415" i="84"/>
  <c r="D226" i="84"/>
  <c r="C243" i="84"/>
  <c r="C258" i="84" s="1"/>
  <c r="C351" i="84" s="1"/>
  <c r="D203" i="84"/>
  <c r="D227" i="84" s="1"/>
  <c r="F442" i="84"/>
  <c r="F53" i="84"/>
  <c r="F430" i="84"/>
  <c r="G39" i="21"/>
  <c r="D416" i="84"/>
  <c r="D382" i="84" s="1"/>
  <c r="D385" i="84" s="1"/>
  <c r="D429" i="84"/>
  <c r="D387" i="84" s="1"/>
  <c r="D390" i="84" s="1"/>
  <c r="F417" i="84"/>
  <c r="F37" i="84"/>
  <c r="H103" i="84" s="1"/>
  <c r="D453" i="84"/>
  <c r="D397" i="84" s="1"/>
  <c r="D400" i="84" s="1"/>
  <c r="C475" i="84"/>
  <c r="E109" i="84" s="1"/>
  <c r="C407" i="84"/>
  <c r="E97" i="84" s="1"/>
  <c r="E440" i="84"/>
  <c r="D449" i="84"/>
  <c r="E448" i="84" s="1"/>
  <c r="E443" i="84"/>
  <c r="E467" i="84"/>
  <c r="E428" i="84"/>
  <c r="D437" i="84"/>
  <c r="E436" i="84" s="1"/>
  <c r="E464" i="84"/>
  <c r="D473" i="84"/>
  <c r="E472" i="84" s="1"/>
  <c r="E418" i="84"/>
  <c r="E425" i="84" s="1"/>
  <c r="D441" i="84"/>
  <c r="D392" i="84" s="1"/>
  <c r="D395" i="84" s="1"/>
  <c r="E431" i="84"/>
  <c r="E452" i="84"/>
  <c r="D461" i="84"/>
  <c r="D424" i="84"/>
  <c r="E424" i="84"/>
  <c r="F48" i="84"/>
  <c r="F47" i="84"/>
  <c r="F49" i="84"/>
  <c r="G35" i="84"/>
  <c r="G37" i="81" s="1"/>
  <c r="G33" i="84"/>
  <c r="G36" i="81" s="1"/>
  <c r="G36" i="84"/>
  <c r="G466" i="84" s="1"/>
  <c r="G34" i="84"/>
  <c r="W34" i="84" s="1"/>
  <c r="G32" i="84"/>
  <c r="G35" i="81" s="1"/>
  <c r="G33" i="81" s="1"/>
  <c r="F44" i="84"/>
  <c r="F42" i="84"/>
  <c r="F43" i="84"/>
  <c r="F58" i="84"/>
  <c r="F59" i="84"/>
  <c r="F57" i="84"/>
  <c r="F64" i="84"/>
  <c r="F62" i="84"/>
  <c r="F63" i="84"/>
  <c r="F54" i="84"/>
  <c r="F52" i="84"/>
  <c r="G325" i="84" s="1"/>
  <c r="I18" i="22"/>
  <c r="E290" i="84"/>
  <c r="E170" i="84" s="1"/>
  <c r="E172" i="84" s="1"/>
  <c r="F288" i="84"/>
  <c r="E312" i="84"/>
  <c r="F311" i="84" s="1"/>
  <c r="F70" i="84"/>
  <c r="H17" i="84"/>
  <c r="G22" i="84"/>
  <c r="H16" i="84"/>
  <c r="F69" i="84"/>
  <c r="F24" i="84"/>
  <c r="V35" i="84" l="1"/>
  <c r="F28" i="81"/>
  <c r="F24" i="81"/>
  <c r="F294" i="84"/>
  <c r="F297" i="84" s="1"/>
  <c r="F316" i="84" s="1"/>
  <c r="E231" i="84"/>
  <c r="F230" i="84" s="1"/>
  <c r="E248" i="84"/>
  <c r="E153" i="84" s="1"/>
  <c r="E155" i="84" s="1"/>
  <c r="E316" i="84"/>
  <c r="E262" i="84"/>
  <c r="F261" i="84" s="1"/>
  <c r="F249" i="84"/>
  <c r="G246" i="84" s="1"/>
  <c r="F291" i="84"/>
  <c r="F290" i="84" s="1"/>
  <c r="F170" i="84" s="1"/>
  <c r="F172" i="84" s="1"/>
  <c r="U43" i="84"/>
  <c r="E453" i="84"/>
  <c r="E397" i="84" s="1"/>
  <c r="E400" i="84" s="1"/>
  <c r="E461" i="84"/>
  <c r="F460" i="84" s="1"/>
  <c r="G295" i="84"/>
  <c r="F211" i="84"/>
  <c r="F231" i="84" s="1"/>
  <c r="G230" i="84" s="1"/>
  <c r="G216" i="84"/>
  <c r="G142" i="84" s="1"/>
  <c r="G144" i="84" s="1"/>
  <c r="G247" i="84"/>
  <c r="G209" i="84"/>
  <c r="V32" i="84"/>
  <c r="N44" i="84"/>
  <c r="N59" i="84" s="1"/>
  <c r="V59" i="84" s="1"/>
  <c r="N43" i="84"/>
  <c r="N58" i="84" s="1"/>
  <c r="V58" i="84" s="1"/>
  <c r="N42" i="84"/>
  <c r="N57" i="84" s="1"/>
  <c r="V57" i="84" s="1"/>
  <c r="U44" i="84"/>
  <c r="G201" i="84"/>
  <c r="G241" i="84"/>
  <c r="V33" i="84"/>
  <c r="N49" i="84"/>
  <c r="V49" i="84" s="1"/>
  <c r="N48" i="84"/>
  <c r="V48" i="84" s="1"/>
  <c r="N47" i="84"/>
  <c r="V47" i="84" s="1"/>
  <c r="U42" i="84"/>
  <c r="O33" i="84"/>
  <c r="G27" i="81" s="1"/>
  <c r="O35" i="84"/>
  <c r="O32" i="84"/>
  <c r="G26" i="81" s="1"/>
  <c r="G289" i="84"/>
  <c r="H99" i="84"/>
  <c r="G454" i="84"/>
  <c r="F315" i="84"/>
  <c r="F71" i="84"/>
  <c r="E460" i="84"/>
  <c r="D476" i="84"/>
  <c r="F110" i="84" s="1"/>
  <c r="E483" i="84"/>
  <c r="E485" i="84" s="1"/>
  <c r="F100" i="84"/>
  <c r="F106" i="84"/>
  <c r="G331" i="84"/>
  <c r="G332" i="84" s="1"/>
  <c r="G191" i="84" s="1"/>
  <c r="F104" i="84"/>
  <c r="D483" i="84"/>
  <c r="E106" i="84"/>
  <c r="E104" i="84"/>
  <c r="E98" i="84"/>
  <c r="E100" i="84"/>
  <c r="E101" i="84"/>
  <c r="F101" i="84"/>
  <c r="F98" i="84"/>
  <c r="G302" i="84"/>
  <c r="G180" i="84" s="1"/>
  <c r="G182" i="84" s="1"/>
  <c r="G273" i="84"/>
  <c r="G274" i="84" s="1"/>
  <c r="G164" i="84" s="1"/>
  <c r="G166" i="84" s="1"/>
  <c r="F267" i="84"/>
  <c r="E200" i="84"/>
  <c r="E203" i="84" s="1"/>
  <c r="E227" i="84" s="1"/>
  <c r="D240" i="84"/>
  <c r="D243" i="84" s="1"/>
  <c r="D258" i="84" s="1"/>
  <c r="D351" i="84" s="1"/>
  <c r="D202" i="84"/>
  <c r="D134" i="84" s="1"/>
  <c r="D136" i="84" s="1"/>
  <c r="C242" i="84"/>
  <c r="C148" i="84" s="1"/>
  <c r="C150" i="84" s="1"/>
  <c r="C194" i="84" s="1"/>
  <c r="F418" i="84"/>
  <c r="G415" i="84" s="1"/>
  <c r="G442" i="84"/>
  <c r="G53" i="84"/>
  <c r="G430" i="84"/>
  <c r="H39" i="21"/>
  <c r="D407" i="84"/>
  <c r="F97" i="84" s="1"/>
  <c r="G417" i="84"/>
  <c r="G37" i="84"/>
  <c r="I103" i="84" s="1"/>
  <c r="F415" i="84"/>
  <c r="E416" i="84"/>
  <c r="E382" i="84" s="1"/>
  <c r="E385" i="84" s="1"/>
  <c r="D475" i="84"/>
  <c r="F109" i="84" s="1"/>
  <c r="E449" i="84"/>
  <c r="F448" i="84" s="1"/>
  <c r="F440" i="84"/>
  <c r="E441" i="84"/>
  <c r="E392" i="84" s="1"/>
  <c r="E395" i="84" s="1"/>
  <c r="F443" i="84"/>
  <c r="F467" i="84"/>
  <c r="E437" i="84"/>
  <c r="F436" i="84" s="1"/>
  <c r="F428" i="84"/>
  <c r="F455" i="84"/>
  <c r="F453" i="84" s="1"/>
  <c r="F397" i="84" s="1"/>
  <c r="F400" i="84" s="1"/>
  <c r="E429" i="84"/>
  <c r="E387" i="84" s="1"/>
  <c r="E390" i="84" s="1"/>
  <c r="F464" i="84"/>
  <c r="E473" i="84"/>
  <c r="F472" i="84" s="1"/>
  <c r="E465" i="84"/>
  <c r="E402" i="84" s="1"/>
  <c r="E405" i="84" s="1"/>
  <c r="F431" i="84"/>
  <c r="F424" i="84"/>
  <c r="G54" i="84"/>
  <c r="G52" i="84"/>
  <c r="H325" i="84" s="1"/>
  <c r="G64" i="84"/>
  <c r="G62" i="84"/>
  <c r="G63" i="84"/>
  <c r="G49" i="84"/>
  <c r="G48" i="84"/>
  <c r="G47" i="84"/>
  <c r="H36" i="84"/>
  <c r="H466" i="84" s="1"/>
  <c r="H34" i="84"/>
  <c r="X34" i="84" s="1"/>
  <c r="H32" i="84"/>
  <c r="H35" i="81" s="1"/>
  <c r="H33" i="81" s="1"/>
  <c r="H35" i="84"/>
  <c r="H37" i="81" s="1"/>
  <c r="H33" i="84"/>
  <c r="H36" i="81" s="1"/>
  <c r="G42" i="84"/>
  <c r="G43" i="84"/>
  <c r="G44" i="84"/>
  <c r="G59" i="84"/>
  <c r="G57" i="84"/>
  <c r="G58" i="84"/>
  <c r="G288" i="84"/>
  <c r="G70" i="84"/>
  <c r="H22" i="84"/>
  <c r="G69" i="84"/>
  <c r="G24" i="84"/>
  <c r="F296" i="84" l="1"/>
  <c r="F174" i="84" s="1"/>
  <c r="F176" i="84" s="1"/>
  <c r="G24" i="81"/>
  <c r="W35" i="84"/>
  <c r="G28" i="81"/>
  <c r="F312" i="84"/>
  <c r="G311" i="84" s="1"/>
  <c r="F262" i="84"/>
  <c r="G261" i="84" s="1"/>
  <c r="F248" i="84"/>
  <c r="F153" i="84" s="1"/>
  <c r="F155" i="84" s="1"/>
  <c r="G294" i="84"/>
  <c r="G297" i="84" s="1"/>
  <c r="V42" i="84"/>
  <c r="G208" i="84"/>
  <c r="G211" i="84" s="1"/>
  <c r="G231" i="84" s="1"/>
  <c r="H230" i="84" s="1"/>
  <c r="G249" i="84"/>
  <c r="G262" i="84" s="1"/>
  <c r="H261" i="84" s="1"/>
  <c r="H241" i="84"/>
  <c r="W33" i="84"/>
  <c r="O48" i="84"/>
  <c r="W48" i="84" s="1"/>
  <c r="O49" i="84"/>
  <c r="W49" i="84" s="1"/>
  <c r="O47" i="84"/>
  <c r="W47" i="84" s="1"/>
  <c r="H295" i="84"/>
  <c r="H209" i="84"/>
  <c r="H247" i="84"/>
  <c r="F210" i="84"/>
  <c r="F138" i="84" s="1"/>
  <c r="F140" i="84" s="1"/>
  <c r="H216" i="84"/>
  <c r="H142" i="84" s="1"/>
  <c r="H144" i="84" s="1"/>
  <c r="H201" i="84"/>
  <c r="W32" i="84"/>
  <c r="O44" i="84"/>
  <c r="O59" i="84" s="1"/>
  <c r="W59" i="84" s="1"/>
  <c r="O43" i="84"/>
  <c r="O58" i="84" s="1"/>
  <c r="W58" i="84" s="1"/>
  <c r="O42" i="84"/>
  <c r="O57" i="84" s="1"/>
  <c r="W57" i="84" s="1"/>
  <c r="V43" i="84"/>
  <c r="V44" i="84"/>
  <c r="H454" i="84"/>
  <c r="H289" i="84"/>
  <c r="I99" i="84"/>
  <c r="P35" i="84"/>
  <c r="P32" i="84"/>
  <c r="H26" i="81" s="1"/>
  <c r="P33" i="84"/>
  <c r="H27" i="81" s="1"/>
  <c r="G291" i="84"/>
  <c r="G290" i="84" s="1"/>
  <c r="G170" i="84" s="1"/>
  <c r="G172" i="84" s="1"/>
  <c r="G315" i="84"/>
  <c r="G71" i="84"/>
  <c r="E476" i="84"/>
  <c r="G110" i="84" s="1"/>
  <c r="F483" i="84"/>
  <c r="G98" i="84"/>
  <c r="G101" i="84"/>
  <c r="G104" i="84"/>
  <c r="E488" i="84"/>
  <c r="G100" i="84"/>
  <c r="G106" i="84"/>
  <c r="H331" i="84"/>
  <c r="H332" i="84" s="1"/>
  <c r="H191" i="84" s="1"/>
  <c r="D488" i="84"/>
  <c r="D485" i="84"/>
  <c r="H302" i="84"/>
  <c r="H180" i="84" s="1"/>
  <c r="H182" i="84" s="1"/>
  <c r="H273" i="84"/>
  <c r="H274" i="84" s="1"/>
  <c r="H164" i="84" s="1"/>
  <c r="H166" i="84" s="1"/>
  <c r="G267" i="84"/>
  <c r="D257" i="84"/>
  <c r="F200" i="84"/>
  <c r="F203" i="84" s="1"/>
  <c r="F227" i="84" s="1"/>
  <c r="E226" i="84"/>
  <c r="E240" i="84"/>
  <c r="E243" i="84" s="1"/>
  <c r="E258" i="84" s="1"/>
  <c r="E351" i="84" s="1"/>
  <c r="D242" i="84"/>
  <c r="D148" i="84" s="1"/>
  <c r="D150" i="84" s="1"/>
  <c r="D194" i="84" s="1"/>
  <c r="E202" i="84"/>
  <c r="E134" i="84" s="1"/>
  <c r="E136" i="84" s="1"/>
  <c r="F416" i="84"/>
  <c r="F382" i="84" s="1"/>
  <c r="F385" i="84" s="1"/>
  <c r="F425" i="84"/>
  <c r="G424" i="84" s="1"/>
  <c r="H442" i="84"/>
  <c r="H53" i="84"/>
  <c r="H430" i="84"/>
  <c r="G418" i="84"/>
  <c r="H415" i="84" s="1"/>
  <c r="H417" i="84"/>
  <c r="H37" i="84"/>
  <c r="J103" i="84" s="1"/>
  <c r="E475" i="84"/>
  <c r="G109" i="84" s="1"/>
  <c r="E407" i="84"/>
  <c r="G97" i="84" s="1"/>
  <c r="F465" i="84"/>
  <c r="F402" i="84" s="1"/>
  <c r="F405" i="84" s="1"/>
  <c r="F461" i="84"/>
  <c r="G452" i="84"/>
  <c r="F473" i="84"/>
  <c r="G472" i="84" s="1"/>
  <c r="G464" i="84"/>
  <c r="F429" i="84"/>
  <c r="F387" i="84" s="1"/>
  <c r="F390" i="84" s="1"/>
  <c r="F449" i="84"/>
  <c r="G448" i="84" s="1"/>
  <c r="G440" i="84"/>
  <c r="G455" i="84"/>
  <c r="G428" i="84"/>
  <c r="F437" i="84"/>
  <c r="G436" i="84" s="1"/>
  <c r="G467" i="84"/>
  <c r="G443" i="84"/>
  <c r="F441" i="84"/>
  <c r="F392" i="84" s="1"/>
  <c r="F395" i="84" s="1"/>
  <c r="G431" i="84"/>
  <c r="H59" i="84"/>
  <c r="H57" i="84"/>
  <c r="H58" i="84"/>
  <c r="H43" i="84"/>
  <c r="H42" i="84"/>
  <c r="H44" i="84"/>
  <c r="H52" i="84"/>
  <c r="I325" i="84" s="1"/>
  <c r="H54" i="84"/>
  <c r="H49" i="84"/>
  <c r="H48" i="84"/>
  <c r="H47" i="84"/>
  <c r="H63" i="84"/>
  <c r="H64" i="84"/>
  <c r="H62" i="84"/>
  <c r="H70" i="84"/>
  <c r="H24" i="84"/>
  <c r="H69" i="84"/>
  <c r="H24" i="81" l="1"/>
  <c r="X35" i="84"/>
  <c r="H28" i="81"/>
  <c r="G316" i="84"/>
  <c r="H315" i="84" s="1"/>
  <c r="H294" i="84"/>
  <c r="H297" i="84" s="1"/>
  <c r="H296" i="84" s="1"/>
  <c r="H174" i="84" s="1"/>
  <c r="H176" i="84" s="1"/>
  <c r="G296" i="84"/>
  <c r="G174" i="84" s="1"/>
  <c r="G176" i="84" s="1"/>
  <c r="H208" i="84"/>
  <c r="H211" i="84" s="1"/>
  <c r="H246" i="84"/>
  <c r="H249" i="84" s="1"/>
  <c r="I246" i="84" s="1"/>
  <c r="G248" i="84"/>
  <c r="G153" i="84" s="1"/>
  <c r="G155" i="84" s="1"/>
  <c r="G210" i="84"/>
  <c r="G138" i="84" s="1"/>
  <c r="G140" i="84" s="1"/>
  <c r="W44" i="84"/>
  <c r="I295" i="84"/>
  <c r="I216" i="84"/>
  <c r="I142" i="84" s="1"/>
  <c r="I144" i="84" s="1"/>
  <c r="X32" i="84"/>
  <c r="P43" i="84"/>
  <c r="P58" i="84" s="1"/>
  <c r="X58" i="84" s="1"/>
  <c r="P42" i="84"/>
  <c r="P57" i="84" s="1"/>
  <c r="X57" i="84" s="1"/>
  <c r="P44" i="84"/>
  <c r="P59" i="84" s="1"/>
  <c r="X59" i="84" s="1"/>
  <c r="W42" i="84"/>
  <c r="I241" i="84"/>
  <c r="I247" i="84"/>
  <c r="I201" i="84"/>
  <c r="W43" i="84"/>
  <c r="X33" i="84"/>
  <c r="P49" i="84"/>
  <c r="X49" i="84" s="1"/>
  <c r="P47" i="84"/>
  <c r="X47" i="84" s="1"/>
  <c r="P48" i="84"/>
  <c r="X48" i="84" s="1"/>
  <c r="I209" i="84"/>
  <c r="H288" i="84"/>
  <c r="H291" i="84" s="1"/>
  <c r="H290" i="84" s="1"/>
  <c r="H170" i="84" s="1"/>
  <c r="H172" i="84" s="1"/>
  <c r="G312" i="84"/>
  <c r="H311" i="84" s="1"/>
  <c r="I289" i="84"/>
  <c r="J99" i="84"/>
  <c r="H71" i="84"/>
  <c r="G460" i="84"/>
  <c r="F476" i="84"/>
  <c r="F485" i="84"/>
  <c r="F488" i="84"/>
  <c r="I331" i="84"/>
  <c r="I332" i="84" s="1"/>
  <c r="I191" i="84" s="1"/>
  <c r="I302" i="84"/>
  <c r="I180" i="84" s="1"/>
  <c r="I182" i="84" s="1"/>
  <c r="I273" i="84"/>
  <c r="I274" i="84" s="1"/>
  <c r="I164" i="84" s="1"/>
  <c r="I166" i="84" s="1"/>
  <c r="H267" i="84"/>
  <c r="F226" i="84"/>
  <c r="G200" i="84"/>
  <c r="G203" i="84" s="1"/>
  <c r="G227" i="84" s="1"/>
  <c r="F240" i="84"/>
  <c r="F243" i="84" s="1"/>
  <c r="F258" i="84" s="1"/>
  <c r="F351" i="84" s="1"/>
  <c r="E257" i="84"/>
  <c r="F202" i="84"/>
  <c r="F134" i="84" s="1"/>
  <c r="F136" i="84" s="1"/>
  <c r="E242" i="84"/>
  <c r="E148" i="84" s="1"/>
  <c r="E150" i="84" s="1"/>
  <c r="E194" i="84" s="1"/>
  <c r="G416" i="84"/>
  <c r="G382" i="84" s="1"/>
  <c r="G385" i="84" s="1"/>
  <c r="G425" i="84"/>
  <c r="H424" i="84" s="1"/>
  <c r="H418" i="84"/>
  <c r="H425" i="84" s="1"/>
  <c r="F475" i="84"/>
  <c r="H109" i="84" s="1"/>
  <c r="G429" i="84"/>
  <c r="G387" i="84" s="1"/>
  <c r="G390" i="84" s="1"/>
  <c r="F407" i="84"/>
  <c r="H97" i="84" s="1"/>
  <c r="G473" i="84"/>
  <c r="H472" i="84" s="1"/>
  <c r="H464" i="84"/>
  <c r="H443" i="84"/>
  <c r="H449" i="84" s="1"/>
  <c r="H440" i="84"/>
  <c r="G449" i="84"/>
  <c r="H448" i="84" s="1"/>
  <c r="H452" i="84"/>
  <c r="G461" i="84"/>
  <c r="G453" i="84"/>
  <c r="G397" i="84" s="1"/>
  <c r="G400" i="84" s="1"/>
  <c r="H467" i="84"/>
  <c r="H473" i="84" s="1"/>
  <c r="G441" i="84"/>
  <c r="G392" i="84" s="1"/>
  <c r="G395" i="84" s="1"/>
  <c r="G437" i="84"/>
  <c r="H436" i="84" s="1"/>
  <c r="H428" i="84"/>
  <c r="H431" i="84"/>
  <c r="H437" i="84" s="1"/>
  <c r="G465" i="84"/>
  <c r="G402" i="84" s="1"/>
  <c r="G405" i="84" s="1"/>
  <c r="H455" i="84"/>
  <c r="H461" i="84" s="1"/>
  <c r="H262" i="84" l="1"/>
  <c r="I261" i="84" s="1"/>
  <c r="I294" i="84"/>
  <c r="H248" i="84"/>
  <c r="H153" i="84" s="1"/>
  <c r="H155" i="84" s="1"/>
  <c r="H210" i="84"/>
  <c r="H138" i="84" s="1"/>
  <c r="H140" i="84" s="1"/>
  <c r="H231" i="84"/>
  <c r="I230" i="84" s="1"/>
  <c r="I208" i="84"/>
  <c r="I211" i="84" s="1"/>
  <c r="H316" i="84"/>
  <c r="I315" i="84" s="1"/>
  <c r="I297" i="84"/>
  <c r="I316" i="84" s="1"/>
  <c r="X44" i="84"/>
  <c r="I249" i="84"/>
  <c r="I262" i="84" s="1"/>
  <c r="X43" i="84"/>
  <c r="X42" i="84"/>
  <c r="H312" i="84"/>
  <c r="I311" i="84" s="1"/>
  <c r="I288" i="84"/>
  <c r="I291" i="84" s="1"/>
  <c r="I290" i="84" s="1"/>
  <c r="I170" i="84" s="1"/>
  <c r="I172" i="84" s="1"/>
  <c r="H476" i="84"/>
  <c r="J110" i="84" s="1"/>
  <c r="H460" i="84"/>
  <c r="G476" i="84"/>
  <c r="I110" i="84" s="1"/>
  <c r="G483" i="84"/>
  <c r="H100" i="84"/>
  <c r="H101" i="84"/>
  <c r="H98" i="84"/>
  <c r="H106" i="84"/>
  <c r="H104" i="84"/>
  <c r="I267" i="84"/>
  <c r="G226" i="84"/>
  <c r="H200" i="84"/>
  <c r="H203" i="84" s="1"/>
  <c r="H227" i="84" s="1"/>
  <c r="G240" i="84"/>
  <c r="G243" i="84" s="1"/>
  <c r="G258" i="84" s="1"/>
  <c r="G351" i="84" s="1"/>
  <c r="F257" i="84"/>
  <c r="F242" i="84"/>
  <c r="F148" i="84" s="1"/>
  <c r="F150" i="84" s="1"/>
  <c r="F194" i="84" s="1"/>
  <c r="G202" i="84"/>
  <c r="G134" i="84" s="1"/>
  <c r="G136" i="84" s="1"/>
  <c r="H416" i="84"/>
  <c r="H382" i="84" s="1"/>
  <c r="H385" i="84" s="1"/>
  <c r="G475" i="84"/>
  <c r="I109" i="84" s="1"/>
  <c r="H110" i="84"/>
  <c r="H429" i="84"/>
  <c r="H387" i="84" s="1"/>
  <c r="H390" i="84" s="1"/>
  <c r="H441" i="84"/>
  <c r="H392" i="84" s="1"/>
  <c r="H395" i="84" s="1"/>
  <c r="G407" i="84"/>
  <c r="I97" i="84" s="1"/>
  <c r="H465" i="84"/>
  <c r="H402" i="84" s="1"/>
  <c r="H405" i="84" s="1"/>
  <c r="H453" i="84"/>
  <c r="H397" i="84" s="1"/>
  <c r="H400" i="84" s="1"/>
  <c r="I231" i="84" l="1"/>
  <c r="I210" i="84"/>
  <c r="I138" i="84" s="1"/>
  <c r="I140" i="84" s="1"/>
  <c r="I296" i="84"/>
  <c r="I174" i="84" s="1"/>
  <c r="I176" i="84" s="1"/>
  <c r="I248" i="84"/>
  <c r="I153" i="84" s="1"/>
  <c r="I155" i="84" s="1"/>
  <c r="I483" i="84"/>
  <c r="J98" i="84"/>
  <c r="J106" i="84"/>
  <c r="J101" i="84"/>
  <c r="J104" i="84"/>
  <c r="J100" i="84"/>
  <c r="G488" i="84"/>
  <c r="G485" i="84"/>
  <c r="H483" i="84"/>
  <c r="I98" i="84"/>
  <c r="I104" i="84"/>
  <c r="I100" i="84"/>
  <c r="I101" i="84"/>
  <c r="I106" i="84"/>
  <c r="I200" i="84"/>
  <c r="I203" i="84" s="1"/>
  <c r="I227" i="84" s="1"/>
  <c r="H226" i="84"/>
  <c r="G257" i="84"/>
  <c r="H240" i="84"/>
  <c r="H243" i="84" s="1"/>
  <c r="H258" i="84" s="1"/>
  <c r="H351" i="84" s="1"/>
  <c r="G242" i="84"/>
  <c r="G148" i="84" s="1"/>
  <c r="G150" i="84" s="1"/>
  <c r="G194" i="84" s="1"/>
  <c r="H202" i="84"/>
  <c r="H134" i="84" s="1"/>
  <c r="H136" i="84" s="1"/>
  <c r="H475" i="84"/>
  <c r="J109" i="84" s="1"/>
  <c r="H407" i="84"/>
  <c r="J97" i="84" s="1"/>
  <c r="I312" i="84"/>
  <c r="I485" i="84" l="1"/>
  <c r="I488" i="84"/>
  <c r="H488" i="84"/>
  <c r="H485" i="84"/>
  <c r="I202" i="84"/>
  <c r="I134" i="84" s="1"/>
  <c r="I136" i="84" s="1"/>
  <c r="I226" i="84"/>
  <c r="I240" i="84"/>
  <c r="I243" i="84" s="1"/>
  <c r="I258" i="84" s="1"/>
  <c r="I351" i="84" s="1"/>
  <c r="H257" i="84"/>
  <c r="H242" i="84"/>
  <c r="H148" i="84" s="1"/>
  <c r="H150" i="84" s="1"/>
  <c r="H194" i="84" s="1"/>
  <c r="D23" i="83"/>
  <c r="E23" i="83" s="1"/>
  <c r="F23" i="83" s="1"/>
  <c r="G23" i="83" s="1"/>
  <c r="H23" i="83" s="1"/>
  <c r="C23" i="83"/>
  <c r="A34" i="83"/>
  <c r="A39" i="83"/>
  <c r="A37" i="83"/>
  <c r="A36" i="83"/>
  <c r="A29" i="83"/>
  <c r="A38" i="83" s="1"/>
  <c r="A28" i="83"/>
  <c r="A27" i="83"/>
  <c r="I242" i="84" l="1"/>
  <c r="I148" i="84" s="1"/>
  <c r="I150" i="84" s="1"/>
  <c r="I194" i="84" s="1"/>
  <c r="I257" i="84"/>
  <c r="C31" i="53"/>
  <c r="C84" i="53" s="1"/>
  <c r="D152" i="53" s="1"/>
  <c r="B32" i="55"/>
  <c r="B9" i="68"/>
  <c r="H47" i="57"/>
  <c r="G8" i="57"/>
  <c r="G9" i="57"/>
  <c r="G10" i="57"/>
  <c r="G11" i="57"/>
  <c r="G21" i="57"/>
  <c r="G22" i="57"/>
  <c r="G23" i="57"/>
  <c r="G24" i="57"/>
  <c r="G25" i="57"/>
  <c r="G26" i="57"/>
  <c r="G27" i="57"/>
  <c r="G28" i="57"/>
  <c r="G29" i="57"/>
  <c r="G30" i="57"/>
  <c r="G31" i="57"/>
  <c r="G34" i="57"/>
  <c r="G35" i="57"/>
  <c r="G36" i="57"/>
  <c r="G37" i="57"/>
  <c r="G38" i="57"/>
  <c r="G39" i="57"/>
  <c r="G40" i="57"/>
  <c r="G41" i="57"/>
  <c r="G42" i="57"/>
  <c r="G43" i="57"/>
  <c r="G44" i="57"/>
  <c r="G45" i="57"/>
  <c r="G46" i="57"/>
  <c r="G49" i="57"/>
  <c r="G50" i="57"/>
  <c r="G51" i="57"/>
  <c r="G52" i="57"/>
  <c r="G53" i="57"/>
  <c r="G54" i="57"/>
  <c r="F73" i="57"/>
  <c r="F74" i="57"/>
  <c r="F75" i="57"/>
  <c r="F76" i="57"/>
  <c r="F77" i="57"/>
  <c r="F78" i="57"/>
  <c r="F87" i="57"/>
  <c r="F88" i="57"/>
  <c r="F89" i="57"/>
  <c r="F90" i="57"/>
  <c r="F91" i="57"/>
  <c r="F92" i="57"/>
  <c r="F101" i="57"/>
  <c r="F102" i="57"/>
  <c r="F103" i="57"/>
  <c r="H55" i="57"/>
  <c r="B283" i="55" s="1"/>
  <c r="B5" i="55"/>
  <c r="B63" i="55"/>
  <c r="B7" i="83"/>
  <c r="B9" i="83" s="1"/>
  <c r="D255" i="55"/>
  <c r="D279" i="55"/>
  <c r="D280" i="55"/>
  <c r="H62" i="57"/>
  <c r="V11" i="61" s="1"/>
  <c r="C30" i="53"/>
  <c r="C83" i="53" s="1"/>
  <c r="D205" i="53"/>
  <c r="D214" i="53"/>
  <c r="D243" i="53"/>
  <c r="C182" i="53"/>
  <c r="B162" i="55"/>
  <c r="D221" i="55" s="1"/>
  <c r="B163" i="55"/>
  <c r="D222" i="55" s="1"/>
  <c r="B164" i="55"/>
  <c r="D223" i="55" s="1"/>
  <c r="B10" i="42"/>
  <c r="D21" i="42" s="1"/>
  <c r="D23" i="42" s="1"/>
  <c r="F8" i="48"/>
  <c r="H8" i="48"/>
  <c r="C28" i="48" s="1"/>
  <c r="E28" i="48" s="1"/>
  <c r="D28" i="48"/>
  <c r="F9" i="48"/>
  <c r="H9" i="48" s="1"/>
  <c r="D29" i="48"/>
  <c r="F10" i="48"/>
  <c r="H10" i="48" s="1"/>
  <c r="D30" i="48"/>
  <c r="F11" i="48"/>
  <c r="H11" i="48"/>
  <c r="C31" i="48"/>
  <c r="E31" i="48" s="1"/>
  <c r="D31" i="48"/>
  <c r="F12" i="48"/>
  <c r="H12" i="48"/>
  <c r="C32" i="48" s="1"/>
  <c r="E32" i="48" s="1"/>
  <c r="D32" i="48"/>
  <c r="C33" i="48"/>
  <c r="E33" i="48" s="1"/>
  <c r="D33" i="48"/>
  <c r="C34" i="48"/>
  <c r="D34" i="48"/>
  <c r="C35" i="48"/>
  <c r="D35" i="48"/>
  <c r="E35" i="48"/>
  <c r="C36" i="48"/>
  <c r="D36" i="48"/>
  <c r="E36" i="48"/>
  <c r="C37" i="48"/>
  <c r="E37" i="48" s="1"/>
  <c r="D37" i="48"/>
  <c r="C38" i="48"/>
  <c r="E38" i="48" s="1"/>
  <c r="D38" i="48"/>
  <c r="D27" i="42"/>
  <c r="D28" i="42"/>
  <c r="D34" i="42" s="1"/>
  <c r="C29" i="42"/>
  <c r="D29" i="42" s="1"/>
  <c r="J11" i="48"/>
  <c r="J12" i="48"/>
  <c r="J13" i="48"/>
  <c r="J14" i="48"/>
  <c r="J15" i="48"/>
  <c r="J16" i="48"/>
  <c r="J17" i="48"/>
  <c r="M8" i="48"/>
  <c r="M9" i="48"/>
  <c r="M10" i="48"/>
  <c r="M11" i="48"/>
  <c r="M12" i="48"/>
  <c r="M13" i="48"/>
  <c r="M14" i="48"/>
  <c r="M15" i="48"/>
  <c r="M16" i="48"/>
  <c r="M17" i="48"/>
  <c r="D294" i="55"/>
  <c r="D301" i="55" s="1"/>
  <c r="B32" i="21" s="1"/>
  <c r="B33" i="21"/>
  <c r="D37" i="42"/>
  <c r="D43" i="42"/>
  <c r="B34" i="21" s="1"/>
  <c r="E52" i="48"/>
  <c r="E56" i="48"/>
  <c r="B35" i="21"/>
  <c r="D265" i="53"/>
  <c r="D266" i="53"/>
  <c r="D267" i="53"/>
  <c r="D273" i="53" s="1"/>
  <c r="B36" i="21" s="1"/>
  <c r="D268" i="53"/>
  <c r="C10" i="62"/>
  <c r="C9" i="62"/>
  <c r="C8" i="62"/>
  <c r="C7" i="62"/>
  <c r="C6" i="62"/>
  <c r="C5" i="62"/>
  <c r="H63" i="55"/>
  <c r="E172" i="55"/>
  <c r="F172" i="55"/>
  <c r="G172" i="55"/>
  <c r="H172" i="55" s="1"/>
  <c r="I172" i="55" s="1"/>
  <c r="J172" i="55" s="1"/>
  <c r="H32" i="55"/>
  <c r="H89" i="55" s="1"/>
  <c r="H141" i="55" s="1"/>
  <c r="J255" i="55"/>
  <c r="G63" i="55"/>
  <c r="G32" i="55"/>
  <c r="G89" i="55" s="1"/>
  <c r="I255" i="55"/>
  <c r="I279" i="55"/>
  <c r="I280" i="55"/>
  <c r="F63" i="55"/>
  <c r="F32" i="55"/>
  <c r="F89" i="55" s="1"/>
  <c r="H255" i="55"/>
  <c r="H279" i="55"/>
  <c r="H280" i="55"/>
  <c r="E63" i="55"/>
  <c r="E32" i="55"/>
  <c r="E89" i="55" s="1"/>
  <c r="G255" i="55"/>
  <c r="G279" i="55"/>
  <c r="G280" i="55"/>
  <c r="D63" i="55"/>
  <c r="D32" i="55"/>
  <c r="D89" i="55" s="1"/>
  <c r="F255" i="55"/>
  <c r="F279" i="55"/>
  <c r="F280" i="55"/>
  <c r="C63" i="55"/>
  <c r="C32" i="55"/>
  <c r="C89" i="55" s="1"/>
  <c r="E255" i="55"/>
  <c r="E279" i="55"/>
  <c r="E280" i="55"/>
  <c r="E78" i="84"/>
  <c r="E124" i="53"/>
  <c r="F124" i="53" s="1"/>
  <c r="G124" i="53" s="1"/>
  <c r="H124" i="53" s="1"/>
  <c r="I31" i="53"/>
  <c r="I84" i="53"/>
  <c r="H31" i="53"/>
  <c r="H84" i="53" s="1"/>
  <c r="G31" i="53"/>
  <c r="G84" i="53" s="1"/>
  <c r="F31" i="53"/>
  <c r="F84" i="53" s="1"/>
  <c r="G205" i="53"/>
  <c r="G214" i="53"/>
  <c r="G243" i="53"/>
  <c r="E31" i="53"/>
  <c r="E84" i="53" s="1"/>
  <c r="F219" i="53" s="1"/>
  <c r="F205" i="53"/>
  <c r="F214" i="53"/>
  <c r="F243" i="53"/>
  <c r="D31" i="53"/>
  <c r="D84" i="53" s="1"/>
  <c r="E205" i="53"/>
  <c r="E214" i="53"/>
  <c r="E243" i="53"/>
  <c r="F23" i="48"/>
  <c r="G23" i="48"/>
  <c r="H23" i="48" s="1"/>
  <c r="E17" i="42"/>
  <c r="F17" i="42"/>
  <c r="G17" i="42" s="1"/>
  <c r="F27" i="42"/>
  <c r="F28" i="42"/>
  <c r="F34" i="42" s="1"/>
  <c r="F29" i="42"/>
  <c r="E27" i="42"/>
  <c r="E34" i="42" s="1"/>
  <c r="E28" i="42"/>
  <c r="E29" i="42"/>
  <c r="C162" i="55"/>
  <c r="E221" i="55" s="1"/>
  <c r="C163" i="55"/>
  <c r="E222" i="55" s="1"/>
  <c r="C164" i="55"/>
  <c r="E223" i="55" s="1"/>
  <c r="F28" i="48"/>
  <c r="F31" i="48"/>
  <c r="F32" i="48"/>
  <c r="F33" i="48"/>
  <c r="F34" i="48"/>
  <c r="F35" i="48"/>
  <c r="F36" i="48"/>
  <c r="F37" i="48"/>
  <c r="F38" i="48"/>
  <c r="C9" i="42"/>
  <c r="C10" i="42" s="1"/>
  <c r="E21" i="42" s="1"/>
  <c r="E23" i="42" s="1"/>
  <c r="F38" i="61" s="1"/>
  <c r="D162" i="55"/>
  <c r="F221" i="55" s="1"/>
  <c r="D163" i="55"/>
  <c r="F222" i="55" s="1"/>
  <c r="D164" i="55"/>
  <c r="F223" i="55" s="1"/>
  <c r="G28" i="48"/>
  <c r="G31" i="48"/>
  <c r="G32" i="48"/>
  <c r="G33" i="48"/>
  <c r="G34" i="48"/>
  <c r="G35" i="48"/>
  <c r="G36" i="48"/>
  <c r="G37" i="48"/>
  <c r="G38" i="48"/>
  <c r="D9" i="42"/>
  <c r="D10" i="42" s="1"/>
  <c r="F21" i="42" s="1"/>
  <c r="F23" i="42" s="1"/>
  <c r="G38" i="61" s="1"/>
  <c r="E162" i="55"/>
  <c r="G221" i="55" s="1"/>
  <c r="E163" i="55"/>
  <c r="G222" i="55" s="1"/>
  <c r="E164" i="55"/>
  <c r="G223" i="55" s="1"/>
  <c r="E9" i="42"/>
  <c r="E10" i="42" s="1"/>
  <c r="G21" i="42" s="1"/>
  <c r="G23" i="42" s="1"/>
  <c r="H38" i="61" s="1"/>
  <c r="F162" i="55"/>
  <c r="H221" i="55" s="1"/>
  <c r="F163" i="55"/>
  <c r="H222" i="55" s="1"/>
  <c r="F164" i="55"/>
  <c r="H223" i="55" s="1"/>
  <c r="F9" i="42"/>
  <c r="F10" i="42" s="1"/>
  <c r="G162" i="55"/>
  <c r="I221" i="55" s="1"/>
  <c r="G163" i="55"/>
  <c r="I222" i="55" s="1"/>
  <c r="G164" i="55"/>
  <c r="I223" i="55" s="1"/>
  <c r="G9" i="42"/>
  <c r="G10" i="42"/>
  <c r="H162" i="55"/>
  <c r="J221" i="55" s="1"/>
  <c r="H163" i="55"/>
  <c r="J222" i="55"/>
  <c r="H164" i="55"/>
  <c r="J223" i="55" s="1"/>
  <c r="H9" i="42"/>
  <c r="H10" i="42" s="1"/>
  <c r="A9" i="53"/>
  <c r="C17" i="61"/>
  <c r="H64" i="57"/>
  <c r="V8" i="61"/>
  <c r="V9" i="61"/>
  <c r="V10" i="61"/>
  <c r="V12" i="61"/>
  <c r="V13" i="61"/>
  <c r="U13" i="61"/>
  <c r="U12" i="61"/>
  <c r="U10" i="61"/>
  <c r="U11" i="61"/>
  <c r="U9" i="61"/>
  <c r="O13" i="61"/>
  <c r="P13" i="61" s="1"/>
  <c r="Q13" i="61" s="1"/>
  <c r="R13" i="61" s="1"/>
  <c r="N13" i="61"/>
  <c r="O12" i="61"/>
  <c r="N12" i="61"/>
  <c r="O11" i="61"/>
  <c r="P11" i="61" s="1"/>
  <c r="Q11" i="61" s="1"/>
  <c r="R11" i="61" s="1"/>
  <c r="N11" i="61"/>
  <c r="N10" i="61"/>
  <c r="O10" i="61"/>
  <c r="P10" i="61" s="1"/>
  <c r="Q10" i="61" s="1"/>
  <c r="R10" i="61" s="1"/>
  <c r="O9" i="61"/>
  <c r="P9" i="61" s="1"/>
  <c r="Q9" i="61" s="1"/>
  <c r="R9" i="61" s="1"/>
  <c r="N9" i="61"/>
  <c r="R8" i="61"/>
  <c r="Q8" i="61"/>
  <c r="P8" i="61"/>
  <c r="O8" i="61"/>
  <c r="P12" i="61"/>
  <c r="Q12" i="61" s="1"/>
  <c r="R12" i="61" s="1"/>
  <c r="C15" i="61"/>
  <c r="C16" i="61"/>
  <c r="E10" i="21"/>
  <c r="D10" i="21"/>
  <c r="E34" i="29" s="1"/>
  <c r="C10" i="21"/>
  <c r="D34" i="29" s="1"/>
  <c r="B37" i="29"/>
  <c r="B36" i="29"/>
  <c r="B35" i="29"/>
  <c r="B34" i="29"/>
  <c r="B33" i="29"/>
  <c r="B32" i="29"/>
  <c r="C52" i="61"/>
  <c r="C51" i="61"/>
  <c r="C50" i="61"/>
  <c r="C49" i="61"/>
  <c r="C48" i="61"/>
  <c r="C47" i="61"/>
  <c r="A27" i="21"/>
  <c r="A37" i="21" s="1"/>
  <c r="A179" i="53"/>
  <c r="A243" i="53" s="1"/>
  <c r="A57" i="53"/>
  <c r="A26" i="83"/>
  <c r="A35" i="83" s="1"/>
  <c r="A25" i="83"/>
  <c r="A32" i="53"/>
  <c r="A153" i="53" s="1"/>
  <c r="A220" i="53" s="1"/>
  <c r="A31" i="53"/>
  <c r="A84" i="53" s="1"/>
  <c r="A30" i="53"/>
  <c r="A29" i="53"/>
  <c r="A150" i="53" s="1"/>
  <c r="A217" i="53" s="1"/>
  <c r="A28" i="53"/>
  <c r="A10" i="53"/>
  <c r="A34" i="55"/>
  <c r="A91" i="55" s="1"/>
  <c r="A143" i="55" s="1"/>
  <c r="A202" i="55" s="1"/>
  <c r="A256" i="55" s="1"/>
  <c r="A39" i="55"/>
  <c r="A96" i="55" s="1"/>
  <c r="A148" i="55" s="1"/>
  <c r="A207" i="55" s="1"/>
  <c r="A261" i="55" s="1"/>
  <c r="A279" i="55"/>
  <c r="A280" i="55"/>
  <c r="A255" i="55"/>
  <c r="A254" i="55"/>
  <c r="A31" i="55"/>
  <c r="A88" i="55"/>
  <c r="A140" i="55" s="1"/>
  <c r="A198" i="55" s="1"/>
  <c r="A253" i="55" s="1"/>
  <c r="A30" i="55"/>
  <c r="A87" i="55" s="1"/>
  <c r="A139" i="55" s="1"/>
  <c r="A197" i="55" s="1"/>
  <c r="A252" i="55" s="1"/>
  <c r="A28" i="55"/>
  <c r="A85" i="55" s="1"/>
  <c r="A137" i="55" s="1"/>
  <c r="A195" i="55" s="1"/>
  <c r="A250" i="55" s="1"/>
  <c r="E294" i="55"/>
  <c r="E301" i="55" s="1"/>
  <c r="C32" i="21" s="1"/>
  <c r="C33" i="21"/>
  <c r="E265" i="53"/>
  <c r="E266" i="53"/>
  <c r="E273" i="53" s="1"/>
  <c r="C36" i="21" s="1"/>
  <c r="E267" i="53"/>
  <c r="E268" i="53"/>
  <c r="E37" i="42"/>
  <c r="E43" i="42" s="1"/>
  <c r="C34" i="21" s="1"/>
  <c r="F52" i="48"/>
  <c r="F56" i="48"/>
  <c r="C35" i="21" s="1"/>
  <c r="F294" i="55"/>
  <c r="F301" i="55"/>
  <c r="D32" i="21" s="1"/>
  <c r="D33" i="21"/>
  <c r="F265" i="53"/>
  <c r="F266" i="53"/>
  <c r="F267" i="53"/>
  <c r="F273" i="53" s="1"/>
  <c r="D36" i="21" s="1"/>
  <c r="F268" i="53"/>
  <c r="F37" i="42"/>
  <c r="F43" i="42"/>
  <c r="D34" i="21" s="1"/>
  <c r="G52" i="48"/>
  <c r="G56" i="48"/>
  <c r="D35" i="21"/>
  <c r="G294" i="55"/>
  <c r="G301" i="55"/>
  <c r="E32" i="21"/>
  <c r="E33" i="21"/>
  <c r="G265" i="53"/>
  <c r="G266" i="53"/>
  <c r="G267" i="53"/>
  <c r="G268" i="53"/>
  <c r="G273" i="53"/>
  <c r="E36" i="21" s="1"/>
  <c r="G37" i="42"/>
  <c r="G43" i="42"/>
  <c r="E34" i="21"/>
  <c r="H52" i="48"/>
  <c r="H56" i="48"/>
  <c r="E35" i="21"/>
  <c r="H294" i="55"/>
  <c r="H301" i="55"/>
  <c r="F32" i="21"/>
  <c r="F33" i="21"/>
  <c r="H265" i="53"/>
  <c r="H266" i="53"/>
  <c r="H267" i="53"/>
  <c r="H268" i="53"/>
  <c r="H273" i="53"/>
  <c r="F36" i="21" s="1"/>
  <c r="I294" i="55"/>
  <c r="I301" i="55" s="1"/>
  <c r="G32" i="21" s="1"/>
  <c r="G33" i="21"/>
  <c r="J294" i="55"/>
  <c r="J301" i="55" s="1"/>
  <c r="H32" i="21" s="1"/>
  <c r="H33" i="21"/>
  <c r="A53" i="22"/>
  <c r="A54" i="22"/>
  <c r="A55" i="22"/>
  <c r="A56" i="22"/>
  <c r="H32" i="57"/>
  <c r="C62" i="29"/>
  <c r="D62" i="29" s="1"/>
  <c r="E62" i="29" s="1"/>
  <c r="F62" i="29" s="1"/>
  <c r="G62" i="29" s="1"/>
  <c r="H62" i="29" s="1"/>
  <c r="I62" i="29" s="1"/>
  <c r="F13" i="48"/>
  <c r="F14" i="48"/>
  <c r="F15" i="48"/>
  <c r="F16" i="48"/>
  <c r="F17" i="48"/>
  <c r="A27" i="53"/>
  <c r="A26" i="53"/>
  <c r="A147" i="53" s="1"/>
  <c r="A214" i="53" s="1"/>
  <c r="A26" i="55"/>
  <c r="A83" i="55" s="1"/>
  <c r="A135" i="55" s="1"/>
  <c r="A193" i="55" s="1"/>
  <c r="A248" i="55" s="1"/>
  <c r="A22" i="53"/>
  <c r="A20" i="53"/>
  <c r="A18" i="53"/>
  <c r="A138" i="53"/>
  <c r="A205" i="53" s="1"/>
  <c r="A16" i="53"/>
  <c r="A14" i="53"/>
  <c r="A129" i="53"/>
  <c r="A61" i="53"/>
  <c r="A70" i="53"/>
  <c r="A27" i="55"/>
  <c r="A84" i="55" s="1"/>
  <c r="A136" i="55" s="1"/>
  <c r="A194" i="55" s="1"/>
  <c r="A249" i="55" s="1"/>
  <c r="A25" i="55"/>
  <c r="A82" i="55" s="1"/>
  <c r="A134" i="55" s="1"/>
  <c r="A192" i="55" s="1"/>
  <c r="A247" i="55" s="1"/>
  <c r="A24" i="55"/>
  <c r="A81" i="55" s="1"/>
  <c r="A133" i="55" s="1"/>
  <c r="A191" i="55" s="1"/>
  <c r="A246" i="55" s="1"/>
  <c r="A23" i="55"/>
  <c r="A80" i="55" s="1"/>
  <c r="A132" i="55" s="1"/>
  <c r="A190" i="55" s="1"/>
  <c r="A245" i="55" s="1"/>
  <c r="A22" i="55"/>
  <c r="A79" i="55" s="1"/>
  <c r="A131" i="55" s="1"/>
  <c r="A189" i="55" s="1"/>
  <c r="A244" i="55" s="1"/>
  <c r="A19" i="55"/>
  <c r="A76" i="55" s="1"/>
  <c r="A128" i="55" s="1"/>
  <c r="A186" i="55" s="1"/>
  <c r="A241" i="55" s="1"/>
  <c r="A17" i="55"/>
  <c r="A74" i="55" s="1"/>
  <c r="A126" i="55" s="1"/>
  <c r="A184" i="55" s="1"/>
  <c r="A239" i="55" s="1"/>
  <c r="A16" i="55"/>
  <c r="A73" i="55" s="1"/>
  <c r="A125" i="55" s="1"/>
  <c r="A183" i="55" s="1"/>
  <c r="A238" i="55" s="1"/>
  <c r="A15" i="55"/>
  <c r="A72" i="55" s="1"/>
  <c r="A124" i="55" s="1"/>
  <c r="A182" i="55" s="1"/>
  <c r="A237" i="55" s="1"/>
  <c r="A14" i="55"/>
  <c r="A71" i="55" s="1"/>
  <c r="A123" i="55" s="1"/>
  <c r="A181" i="55" s="1"/>
  <c r="A236" i="55" s="1"/>
  <c r="A13" i="55"/>
  <c r="A70" i="55" s="1"/>
  <c r="A122" i="55" s="1"/>
  <c r="A180" i="55" s="1"/>
  <c r="A235" i="55" s="1"/>
  <c r="A12" i="55"/>
  <c r="A69" i="55" s="1"/>
  <c r="A121" i="55" s="1"/>
  <c r="A179" i="55" s="1"/>
  <c r="A234" i="55" s="1"/>
  <c r="A32" i="55"/>
  <c r="A89" i="55" s="1"/>
  <c r="A141" i="55" s="1"/>
  <c r="A32" i="48"/>
  <c r="A31" i="48"/>
  <c r="A30" i="48"/>
  <c r="A29" i="48"/>
  <c r="A28" i="48"/>
  <c r="M15" i="62"/>
  <c r="M17" i="62" s="1"/>
  <c r="B95" i="29"/>
  <c r="B94" i="29"/>
  <c r="B93" i="29"/>
  <c r="B92" i="29"/>
  <c r="A24" i="21"/>
  <c r="A34" i="21" s="1"/>
  <c r="A23" i="21"/>
  <c r="A33" i="21" s="1"/>
  <c r="A22" i="21"/>
  <c r="A32" i="21" s="1"/>
  <c r="A25" i="21"/>
  <c r="A35" i="21" s="1"/>
  <c r="A26" i="21"/>
  <c r="A36" i="21" s="1"/>
  <c r="F45" i="42"/>
  <c r="F47" i="42" s="1"/>
  <c r="E45" i="42"/>
  <c r="D45" i="42"/>
  <c r="A251" i="53"/>
  <c r="A250" i="53"/>
  <c r="A249" i="53"/>
  <c r="A247" i="53"/>
  <c r="A246" i="53"/>
  <c r="A245" i="53"/>
  <c r="A244" i="53"/>
  <c r="A195" i="53"/>
  <c r="E47" i="42"/>
  <c r="D47" i="42"/>
  <c r="A152" i="53" l="1"/>
  <c r="A219" i="53" s="1"/>
  <c r="B89" i="55"/>
  <c r="B141" i="55" s="1"/>
  <c r="D199" i="55" s="1"/>
  <c r="E30" i="53"/>
  <c r="E83" i="53" s="1"/>
  <c r="E254" i="55"/>
  <c r="C141" i="55"/>
  <c r="A151" i="53"/>
  <c r="A218" i="53" s="1"/>
  <c r="A83" i="53"/>
  <c r="F254" i="55"/>
  <c r="D141" i="55"/>
  <c r="F199" i="55" s="1"/>
  <c r="A81" i="53"/>
  <c r="A149" i="53"/>
  <c r="A216" i="53" s="1"/>
  <c r="A11" i="55"/>
  <c r="A68" i="55" s="1"/>
  <c r="A120" i="55" s="1"/>
  <c r="A178" i="55" s="1"/>
  <c r="A233" i="55" s="1"/>
  <c r="A20" i="55"/>
  <c r="A77" i="55" s="1"/>
  <c r="A129" i="55" s="1"/>
  <c r="A187" i="55" s="1"/>
  <c r="A242" i="55" s="1"/>
  <c r="A29" i="55"/>
  <c r="A86" i="55" s="1"/>
  <c r="A138" i="55" s="1"/>
  <c r="A196" i="55" s="1"/>
  <c r="A251" i="55" s="1"/>
  <c r="D30" i="53"/>
  <c r="D83" i="53" s="1"/>
  <c r="A18" i="55"/>
  <c r="A75" i="55" s="1"/>
  <c r="A127" i="55" s="1"/>
  <c r="A185" i="55" s="1"/>
  <c r="A240" i="55" s="1"/>
  <c r="A21" i="55"/>
  <c r="A78" i="55" s="1"/>
  <c r="A130" i="55" s="1"/>
  <c r="A188" i="55" s="1"/>
  <c r="A243" i="55" s="1"/>
  <c r="A79" i="53"/>
  <c r="A24" i="53"/>
  <c r="D219" i="53"/>
  <c r="A82" i="53"/>
  <c r="F124" i="29"/>
  <c r="F139" i="29"/>
  <c r="F154" i="29"/>
  <c r="F169" i="29"/>
  <c r="F34" i="29"/>
  <c r="D124" i="29"/>
  <c r="D139" i="29"/>
  <c r="D154" i="29"/>
  <c r="D169" i="29"/>
  <c r="E169" i="29"/>
  <c r="E124" i="29"/>
  <c r="E139" i="29"/>
  <c r="E154" i="29"/>
  <c r="D18" i="83"/>
  <c r="F18" i="83" s="1"/>
  <c r="H18" i="83" s="1"/>
  <c r="D14" i="83"/>
  <c r="D15" i="83"/>
  <c r="F15" i="83" s="1"/>
  <c r="H15" i="83" s="1"/>
  <c r="D17" i="83"/>
  <c r="F17" i="83" s="1"/>
  <c r="H17" i="83" s="1"/>
  <c r="D16" i="83"/>
  <c r="F16" i="83" s="1"/>
  <c r="H16" i="83" s="1"/>
  <c r="B27" i="83"/>
  <c r="B29" i="83" s="1"/>
  <c r="F78" i="84"/>
  <c r="E119" i="84"/>
  <c r="E120" i="84"/>
  <c r="G47" i="57"/>
  <c r="F79" i="57"/>
  <c r="D7" i="62" s="1"/>
  <c r="C41" i="22" s="1"/>
  <c r="F93" i="57"/>
  <c r="D8" i="62" s="1"/>
  <c r="C20" i="68" s="1"/>
  <c r="F104" i="57"/>
  <c r="D9" i="62" s="1"/>
  <c r="G55" i="57"/>
  <c r="G32" i="57"/>
  <c r="O16" i="61"/>
  <c r="R16" i="61"/>
  <c r="Q16" i="61"/>
  <c r="P16" i="61"/>
  <c r="E83" i="84"/>
  <c r="C14" i="21" s="1"/>
  <c r="V16" i="61"/>
  <c r="A49" i="55"/>
  <c r="A106" i="55" s="1"/>
  <c r="A158" i="55" s="1"/>
  <c r="A217" i="55" s="1"/>
  <c r="A271" i="55" s="1"/>
  <c r="A45" i="55"/>
  <c r="A102" i="55" s="1"/>
  <c r="A154" i="55" s="1"/>
  <c r="A213" i="55" s="1"/>
  <c r="A267" i="55" s="1"/>
  <c r="A51" i="55"/>
  <c r="A108" i="55" s="1"/>
  <c r="A160" i="55" s="1"/>
  <c r="A219" i="55" s="1"/>
  <c r="A273" i="55" s="1"/>
  <c r="A55" i="55"/>
  <c r="A112" i="55" s="1"/>
  <c r="A164" i="55" s="1"/>
  <c r="A223" i="55" s="1"/>
  <c r="A59" i="55"/>
  <c r="A116" i="55" s="1"/>
  <c r="A168" i="55" s="1"/>
  <c r="A227" i="55" s="1"/>
  <c r="A278" i="55" s="1"/>
  <c r="A43" i="55"/>
  <c r="A100" i="55" s="1"/>
  <c r="A152" i="55" s="1"/>
  <c r="A211" i="55" s="1"/>
  <c r="A265" i="55" s="1"/>
  <c r="A53" i="53"/>
  <c r="A174" i="53" s="1"/>
  <c r="A55" i="53"/>
  <c r="A176" i="53" s="1"/>
  <c r="A240" i="53" s="1"/>
  <c r="A58" i="55"/>
  <c r="A115" i="55" s="1"/>
  <c r="A167" i="55" s="1"/>
  <c r="A226" i="55" s="1"/>
  <c r="A277" i="55" s="1"/>
  <c r="A47" i="55"/>
  <c r="A104" i="55" s="1"/>
  <c r="A156" i="55" s="1"/>
  <c r="A215" i="55" s="1"/>
  <c r="A269" i="55" s="1"/>
  <c r="A54" i="55"/>
  <c r="A111" i="55" s="1"/>
  <c r="A163" i="55" s="1"/>
  <c r="A222" i="55" s="1"/>
  <c r="A56" i="55"/>
  <c r="A113" i="55" s="1"/>
  <c r="A165" i="55" s="1"/>
  <c r="A224" i="55" s="1"/>
  <c r="A275" i="55" s="1"/>
  <c r="A57" i="55"/>
  <c r="A114" i="55" s="1"/>
  <c r="A166" i="55" s="1"/>
  <c r="A225" i="55" s="1"/>
  <c r="A276" i="55" s="1"/>
  <c r="A44" i="53"/>
  <c r="A165" i="53" s="1"/>
  <c r="A232" i="53" s="1"/>
  <c r="A52" i="53"/>
  <c r="A173" i="53" s="1"/>
  <c r="A45" i="83"/>
  <c r="A36" i="53" s="1"/>
  <c r="A89" i="53" s="1"/>
  <c r="A40" i="53"/>
  <c r="A161" i="53" s="1"/>
  <c r="A228" i="53" s="1"/>
  <c r="A48" i="53"/>
  <c r="A101" i="53" s="1"/>
  <c r="A34" i="53"/>
  <c r="A155" i="53" s="1"/>
  <c r="A222" i="53" s="1"/>
  <c r="A38" i="53"/>
  <c r="A159" i="53" s="1"/>
  <c r="A226" i="53" s="1"/>
  <c r="A42" i="53"/>
  <c r="A95" i="53" s="1"/>
  <c r="A46" i="53"/>
  <c r="A167" i="53" s="1"/>
  <c r="A234" i="53" s="1"/>
  <c r="A50" i="53"/>
  <c r="A103" i="53" s="1"/>
  <c r="A85" i="53"/>
  <c r="A50" i="55"/>
  <c r="A107" i="55" s="1"/>
  <c r="A159" i="55" s="1"/>
  <c r="A218" i="55" s="1"/>
  <c r="A272" i="55" s="1"/>
  <c r="A46" i="55"/>
  <c r="A103" i="55" s="1"/>
  <c r="A155" i="55" s="1"/>
  <c r="A214" i="55" s="1"/>
  <c r="A268" i="55" s="1"/>
  <c r="A42" i="55"/>
  <c r="A99" i="55" s="1"/>
  <c r="A151" i="55" s="1"/>
  <c r="A210" i="55" s="1"/>
  <c r="A264" i="55" s="1"/>
  <c r="A38" i="55"/>
  <c r="A95" i="55" s="1"/>
  <c r="A147" i="55" s="1"/>
  <c r="A206" i="55" s="1"/>
  <c r="A260" i="55" s="1"/>
  <c r="A41" i="55"/>
  <c r="A98" i="55" s="1"/>
  <c r="A150" i="55" s="1"/>
  <c r="A209" i="55" s="1"/>
  <c r="A263" i="55" s="1"/>
  <c r="A37" i="55"/>
  <c r="A94" i="55" s="1"/>
  <c r="A146" i="55" s="1"/>
  <c r="A205" i="55" s="1"/>
  <c r="A259" i="55" s="1"/>
  <c r="A53" i="55"/>
  <c r="A110" i="55" s="1"/>
  <c r="A162" i="55" s="1"/>
  <c r="A221" i="55" s="1"/>
  <c r="A52" i="55"/>
  <c r="A109" i="55" s="1"/>
  <c r="A161" i="55" s="1"/>
  <c r="A220" i="55" s="1"/>
  <c r="A274" i="55" s="1"/>
  <c r="A48" i="55"/>
  <c r="A105" i="55" s="1"/>
  <c r="A157" i="55" s="1"/>
  <c r="A216" i="55" s="1"/>
  <c r="A270" i="55" s="1"/>
  <c r="A44" i="55"/>
  <c r="A101" i="55" s="1"/>
  <c r="A153" i="55" s="1"/>
  <c r="A212" i="55" s="1"/>
  <c r="A266" i="55" s="1"/>
  <c r="A40" i="55"/>
  <c r="A97" i="55" s="1"/>
  <c r="A149" i="55" s="1"/>
  <c r="A208" i="55" s="1"/>
  <c r="A262" i="55" s="1"/>
  <c r="A36" i="55"/>
  <c r="A93" i="55" s="1"/>
  <c r="A145" i="55" s="1"/>
  <c r="A204" i="55" s="1"/>
  <c r="A258" i="55" s="1"/>
  <c r="A141" i="53"/>
  <c r="A208" i="53" s="1"/>
  <c r="A73" i="53"/>
  <c r="A25" i="53"/>
  <c r="A148" i="53"/>
  <c r="A215" i="53" s="1"/>
  <c r="A80" i="53"/>
  <c r="A12" i="53"/>
  <c r="A15" i="53"/>
  <c r="A139" i="53"/>
  <c r="A206" i="53" s="1"/>
  <c r="A71" i="53"/>
  <c r="A23" i="53"/>
  <c r="A11" i="53"/>
  <c r="A13" i="53"/>
  <c r="A137" i="53"/>
  <c r="A204" i="53" s="1"/>
  <c r="A69" i="53"/>
  <c r="A21" i="53"/>
  <c r="A145" i="53"/>
  <c r="A212" i="53" s="1"/>
  <c r="A77" i="53"/>
  <c r="A63" i="53"/>
  <c r="A131" i="53"/>
  <c r="A198" i="53" s="1"/>
  <c r="A135" i="53"/>
  <c r="A202" i="53" s="1"/>
  <c r="A67" i="53"/>
  <c r="A19" i="53"/>
  <c r="A143" i="53"/>
  <c r="A210" i="53" s="1"/>
  <c r="A75" i="53"/>
  <c r="A56" i="53"/>
  <c r="A130" i="53"/>
  <c r="A197" i="53" s="1"/>
  <c r="A62" i="53"/>
  <c r="A110" i="53"/>
  <c r="A178" i="53"/>
  <c r="A242" i="53" s="1"/>
  <c r="A51" i="53"/>
  <c r="A33" i="53"/>
  <c r="A35" i="53"/>
  <c r="A37" i="53"/>
  <c r="A39" i="53"/>
  <c r="A41" i="53"/>
  <c r="A43" i="53"/>
  <c r="A45" i="53"/>
  <c r="A47" i="53"/>
  <c r="A49" i="53"/>
  <c r="A157" i="53"/>
  <c r="A224" i="53" s="1"/>
  <c r="A54" i="53"/>
  <c r="D24" i="21"/>
  <c r="G51" i="61"/>
  <c r="H31" i="48"/>
  <c r="H35" i="48"/>
  <c r="I23" i="48"/>
  <c r="H28" i="48"/>
  <c r="H32" i="48"/>
  <c r="H36" i="48"/>
  <c r="H33" i="48"/>
  <c r="H37" i="48"/>
  <c r="H34" i="48"/>
  <c r="H38" i="48"/>
  <c r="A35" i="55"/>
  <c r="A92" i="55" s="1"/>
  <c r="A144" i="55" s="1"/>
  <c r="A203" i="55" s="1"/>
  <c r="A257" i="55" s="1"/>
  <c r="C24" i="21"/>
  <c r="F51" i="61"/>
  <c r="G28" i="42"/>
  <c r="G29" i="42"/>
  <c r="H17" i="42"/>
  <c r="H21" i="42" s="1"/>
  <c r="H23" i="42" s="1"/>
  <c r="G27" i="42"/>
  <c r="H152" i="53"/>
  <c r="G219" i="53"/>
  <c r="G152" i="53"/>
  <c r="F152" i="53"/>
  <c r="E152" i="53"/>
  <c r="E219" i="53"/>
  <c r="I124" i="53"/>
  <c r="H205" i="53"/>
  <c r="H214" i="53"/>
  <c r="H243" i="53"/>
  <c r="H219" i="53"/>
  <c r="I219" i="53"/>
  <c r="G141" i="55"/>
  <c r="I254" i="55"/>
  <c r="F141" i="55"/>
  <c r="H254" i="55"/>
  <c r="E141" i="55"/>
  <c r="G199" i="55" s="1"/>
  <c r="G254" i="55"/>
  <c r="E51" i="61"/>
  <c r="B24" i="21"/>
  <c r="J10" i="48"/>
  <c r="C30" i="48"/>
  <c r="J279" i="55"/>
  <c r="J280" i="55"/>
  <c r="E34" i="48"/>
  <c r="J254" i="55"/>
  <c r="C44" i="48"/>
  <c r="J8" i="48"/>
  <c r="G12" i="57"/>
  <c r="D5" i="62" s="1"/>
  <c r="J9" i="48"/>
  <c r="C29" i="48"/>
  <c r="E38" i="61"/>
  <c r="B10" i="21"/>
  <c r="D151" i="53"/>
  <c r="D218" i="53"/>
  <c r="D254" i="55"/>
  <c r="C19" i="68" l="1"/>
  <c r="E199" i="55"/>
  <c r="E218" i="53"/>
  <c r="E151" i="53"/>
  <c r="F218" i="53"/>
  <c r="F151" i="53"/>
  <c r="H199" i="55"/>
  <c r="F30" i="53"/>
  <c r="F83" i="53" s="1"/>
  <c r="C124" i="29"/>
  <c r="C139" i="29"/>
  <c r="C154" i="29"/>
  <c r="C169" i="29"/>
  <c r="C27" i="83"/>
  <c r="D27" i="83" s="1"/>
  <c r="E27" i="83" s="1"/>
  <c r="F27" i="83" s="1"/>
  <c r="G27" i="83" s="1"/>
  <c r="H27" i="83" s="1"/>
  <c r="G78" i="84"/>
  <c r="F119" i="84"/>
  <c r="F120" i="84"/>
  <c r="F7" i="62"/>
  <c r="G64" i="57"/>
  <c r="D118" i="84" s="1"/>
  <c r="F8" i="62"/>
  <c r="C42" i="22"/>
  <c r="C43" i="22" s="1"/>
  <c r="G42" i="22"/>
  <c r="K41" i="22"/>
  <c r="D42" i="22"/>
  <c r="E42" i="22"/>
  <c r="F42" i="22"/>
  <c r="H42" i="22"/>
  <c r="I42" i="22"/>
  <c r="C44" i="22"/>
  <c r="D41" i="22" s="1"/>
  <c r="C53" i="22"/>
  <c r="D54" i="22" s="1"/>
  <c r="F9" i="62"/>
  <c r="C47" i="22"/>
  <c r="C21" i="68"/>
  <c r="F83" i="84"/>
  <c r="D14" i="21" s="1"/>
  <c r="A169" i="53"/>
  <c r="A236" i="53" s="1"/>
  <c r="A99" i="53"/>
  <c r="A97" i="53"/>
  <c r="A91" i="53"/>
  <c r="A163" i="53"/>
  <c r="A230" i="53" s="1"/>
  <c r="A87" i="53"/>
  <c r="A106" i="53"/>
  <c r="A171" i="53"/>
  <c r="A238" i="53" s="1"/>
  <c r="A105" i="53"/>
  <c r="A93" i="53"/>
  <c r="A108" i="53"/>
  <c r="C40" i="53"/>
  <c r="C93" i="53" s="1"/>
  <c r="F10" i="21"/>
  <c r="I38" i="61"/>
  <c r="C34" i="29"/>
  <c r="E30" i="48"/>
  <c r="G30" i="48"/>
  <c r="I30" i="48"/>
  <c r="F30" i="48"/>
  <c r="H30" i="48"/>
  <c r="A175" i="53"/>
  <c r="A239" i="53" s="1"/>
  <c r="A107" i="53"/>
  <c r="A154" i="53"/>
  <c r="A221" i="53" s="1"/>
  <c r="A86" i="53"/>
  <c r="A172" i="53"/>
  <c r="A104" i="53"/>
  <c r="A133" i="53"/>
  <c r="A200" i="53" s="1"/>
  <c r="A65" i="53"/>
  <c r="C29" i="22"/>
  <c r="F5" i="62"/>
  <c r="C17" i="68"/>
  <c r="C43" i="48"/>
  <c r="J124" i="53"/>
  <c r="I205" i="53"/>
  <c r="I214" i="53"/>
  <c r="I243" i="53"/>
  <c r="I268" i="53"/>
  <c r="I152" i="53"/>
  <c r="I267" i="53"/>
  <c r="I265" i="53"/>
  <c r="I273" i="53" s="1"/>
  <c r="G36" i="21" s="1"/>
  <c r="I266" i="53"/>
  <c r="I33" i="48"/>
  <c r="I37" i="48"/>
  <c r="I34" i="48"/>
  <c r="I38" i="48"/>
  <c r="J23" i="48"/>
  <c r="I31" i="48"/>
  <c r="I35" i="48"/>
  <c r="I28" i="48"/>
  <c r="I32" i="48"/>
  <c r="I36" i="48"/>
  <c r="I52" i="48"/>
  <c r="I56" i="48" s="1"/>
  <c r="F35" i="21" s="1"/>
  <c r="A170" i="53"/>
  <c r="A237" i="53" s="1"/>
  <c r="A102" i="53"/>
  <c r="A166" i="53"/>
  <c r="A233" i="53" s="1"/>
  <c r="A98" i="53"/>
  <c r="A162" i="53"/>
  <c r="A229" i="53" s="1"/>
  <c r="A94" i="53"/>
  <c r="A158" i="53"/>
  <c r="A225" i="53" s="1"/>
  <c r="A90" i="53"/>
  <c r="A177" i="53"/>
  <c r="A241" i="53" s="1"/>
  <c r="A109" i="53"/>
  <c r="A66" i="53"/>
  <c r="A134" i="53"/>
  <c r="A201" i="53" s="1"/>
  <c r="A78" i="53"/>
  <c r="A146" i="53"/>
  <c r="A213" i="53" s="1"/>
  <c r="E29" i="48"/>
  <c r="E39" i="48" s="1"/>
  <c r="G29" i="48"/>
  <c r="G39" i="48" s="1"/>
  <c r="I29" i="48"/>
  <c r="F29" i="48"/>
  <c r="F39" i="48" s="1"/>
  <c r="H29" i="48"/>
  <c r="H39" i="48" s="1"/>
  <c r="J29" i="48"/>
  <c r="E44" i="48"/>
  <c r="H44" i="48"/>
  <c r="I44" i="48"/>
  <c r="J44" i="48"/>
  <c r="F44" i="48"/>
  <c r="G44" i="48"/>
  <c r="C41" i="53"/>
  <c r="C94" i="53" s="1"/>
  <c r="G34" i="42"/>
  <c r="A164" i="53"/>
  <c r="A231" i="53" s="1"/>
  <c r="A96" i="53"/>
  <c r="A160" i="53"/>
  <c r="A227" i="53" s="1"/>
  <c r="A92" i="53"/>
  <c r="A156" i="53"/>
  <c r="A223" i="53" s="1"/>
  <c r="A88" i="53"/>
  <c r="A72" i="53"/>
  <c r="A140" i="53"/>
  <c r="A207" i="53" s="1"/>
  <c r="A74" i="53"/>
  <c r="A142" i="53"/>
  <c r="A209" i="53" s="1"/>
  <c r="A76" i="53"/>
  <c r="A144" i="53"/>
  <c r="A211" i="53" s="1"/>
  <c r="A68" i="53"/>
  <c r="A136" i="53"/>
  <c r="A203" i="53" s="1"/>
  <c r="C39" i="53"/>
  <c r="C92" i="53" s="1"/>
  <c r="I199" i="55"/>
  <c r="J199" i="55"/>
  <c r="I17" i="42"/>
  <c r="H27" i="42"/>
  <c r="H28" i="42"/>
  <c r="H29" i="42"/>
  <c r="H37" i="42"/>
  <c r="H43" i="42" s="1"/>
  <c r="F34" i="21" s="1"/>
  <c r="A168" i="53"/>
  <c r="A235" i="53" s="1"/>
  <c r="A100" i="53"/>
  <c r="A132" i="53"/>
  <c r="A199" i="53" s="1"/>
  <c r="A64" i="53"/>
  <c r="G151" i="53" l="1"/>
  <c r="G218" i="53"/>
  <c r="G30" i="53"/>
  <c r="G83" i="53" s="1"/>
  <c r="G124" i="29"/>
  <c r="G139" i="29"/>
  <c r="G154" i="29"/>
  <c r="G169" i="29"/>
  <c r="E54" i="22"/>
  <c r="E118" i="84"/>
  <c r="F118" i="84"/>
  <c r="D117" i="84"/>
  <c r="F117" i="84" s="1"/>
  <c r="C29" i="83"/>
  <c r="D29" i="83" s="1"/>
  <c r="E29" i="83" s="1"/>
  <c r="F29" i="83" s="1"/>
  <c r="G29" i="83" s="1"/>
  <c r="H29" i="83" s="1"/>
  <c r="C28" i="83"/>
  <c r="D28" i="83" s="1"/>
  <c r="E28" i="83" s="1"/>
  <c r="F28" i="83" s="1"/>
  <c r="G28" i="83" s="1"/>
  <c r="H28" i="83" s="1"/>
  <c r="H78" i="84"/>
  <c r="G118" i="84"/>
  <c r="G119" i="84"/>
  <c r="G120" i="84"/>
  <c r="I54" i="22"/>
  <c r="D6" i="62"/>
  <c r="F6" i="62" s="1"/>
  <c r="D111" i="57"/>
  <c r="D116" i="57" s="1"/>
  <c r="D10" i="62" s="1"/>
  <c r="G54" i="22"/>
  <c r="K53" i="22"/>
  <c r="K54" i="22" s="1"/>
  <c r="K55" i="22" s="1"/>
  <c r="F54" i="22"/>
  <c r="C54" i="22"/>
  <c r="C55" i="22" s="1"/>
  <c r="D55" i="22" s="1"/>
  <c r="E55" i="22" s="1"/>
  <c r="D44" i="22"/>
  <c r="E41" i="22" s="1"/>
  <c r="E44" i="22" s="1"/>
  <c r="D43" i="22"/>
  <c r="E43" i="22" s="1"/>
  <c r="F43" i="22" s="1"/>
  <c r="G43" i="22" s="1"/>
  <c r="H54" i="22"/>
  <c r="K42" i="22"/>
  <c r="K43" i="22" s="1"/>
  <c r="C48" i="22"/>
  <c r="C49" i="22" s="1"/>
  <c r="K47" i="22"/>
  <c r="E48" i="22"/>
  <c r="I48" i="22"/>
  <c r="D48" i="22"/>
  <c r="F48" i="22"/>
  <c r="H48" i="22"/>
  <c r="G48" i="22"/>
  <c r="G83" i="84"/>
  <c r="E14" i="21" s="1"/>
  <c r="C33" i="53"/>
  <c r="C86" i="53" s="1"/>
  <c r="D221" i="53" s="1"/>
  <c r="C35" i="53"/>
  <c r="C88" i="53" s="1"/>
  <c r="H35" i="61"/>
  <c r="E11" i="21"/>
  <c r="D161" i="53"/>
  <c r="D228" i="53"/>
  <c r="C57" i="53"/>
  <c r="C110" i="53" s="1"/>
  <c r="C34" i="53"/>
  <c r="C87" i="53" s="1"/>
  <c r="E35" i="61"/>
  <c r="B11" i="21"/>
  <c r="C9" i="53"/>
  <c r="C62" i="53" s="1"/>
  <c r="C15" i="53"/>
  <c r="C68" i="53" s="1"/>
  <c r="C36" i="53"/>
  <c r="C89" i="53" s="1"/>
  <c r="D33" i="53"/>
  <c r="D86" i="53" s="1"/>
  <c r="D39" i="53"/>
  <c r="D92" i="53" s="1"/>
  <c r="C16" i="53"/>
  <c r="C69" i="53" s="1"/>
  <c r="C13" i="53"/>
  <c r="C66" i="53" s="1"/>
  <c r="F35" i="61"/>
  <c r="C11" i="21"/>
  <c r="J219" i="53"/>
  <c r="J214" i="53"/>
  <c r="J243" i="53"/>
  <c r="J205" i="53"/>
  <c r="J152" i="53"/>
  <c r="J268" i="53"/>
  <c r="J265" i="53"/>
  <c r="J266" i="53"/>
  <c r="J267" i="53"/>
  <c r="B35" i="55"/>
  <c r="C25" i="83"/>
  <c r="D25" i="83" s="1"/>
  <c r="C10" i="53"/>
  <c r="C63" i="53" s="1"/>
  <c r="C30" i="22"/>
  <c r="C31" i="22" s="1"/>
  <c r="F30" i="22"/>
  <c r="E30" i="22"/>
  <c r="D30" i="22"/>
  <c r="H30" i="22"/>
  <c r="G30" i="22"/>
  <c r="I30" i="22"/>
  <c r="K29" i="22"/>
  <c r="C37" i="53"/>
  <c r="C90" i="53" s="1"/>
  <c r="H34" i="42"/>
  <c r="B43" i="55"/>
  <c r="B100" i="55" s="1"/>
  <c r="D160" i="53"/>
  <c r="D227" i="53"/>
  <c r="C38" i="53"/>
  <c r="C91" i="53" s="1"/>
  <c r="C56" i="53"/>
  <c r="C109" i="53" s="1"/>
  <c r="H51" i="61"/>
  <c r="E24" i="21"/>
  <c r="G45" i="42"/>
  <c r="G47" i="42" s="1"/>
  <c r="D41" i="53"/>
  <c r="D94" i="53" s="1"/>
  <c r="C54" i="53"/>
  <c r="C107" i="53" s="1"/>
  <c r="J33" i="48"/>
  <c r="K23" i="48"/>
  <c r="J35" i="48"/>
  <c r="J31" i="48"/>
  <c r="J36" i="48"/>
  <c r="J32" i="48"/>
  <c r="J37" i="48"/>
  <c r="J28" i="48"/>
  <c r="J34" i="48"/>
  <c r="J38" i="48"/>
  <c r="J52" i="48"/>
  <c r="J56" i="48" s="1"/>
  <c r="G35" i="21" s="1"/>
  <c r="E43" i="48"/>
  <c r="E49" i="48" s="1"/>
  <c r="K43" i="48"/>
  <c r="I43" i="48"/>
  <c r="I49" i="48" s="1"/>
  <c r="J43" i="48"/>
  <c r="J49" i="48" s="1"/>
  <c r="F43" i="48"/>
  <c r="F49" i="48" s="1"/>
  <c r="G43" i="48"/>
  <c r="G49" i="48" s="1"/>
  <c r="H43" i="48"/>
  <c r="H49" i="48" s="1"/>
  <c r="C55" i="53"/>
  <c r="C108" i="53" s="1"/>
  <c r="B42" i="55"/>
  <c r="B99" i="55" s="1"/>
  <c r="J30" i="48"/>
  <c r="B41" i="55"/>
  <c r="B98" i="55" s="1"/>
  <c r="J17" i="42"/>
  <c r="I27" i="42"/>
  <c r="I28" i="42"/>
  <c r="I29" i="42"/>
  <c r="I37" i="42"/>
  <c r="I43" i="42" s="1"/>
  <c r="G34" i="21" s="1"/>
  <c r="I21" i="42"/>
  <c r="I23" i="42" s="1"/>
  <c r="C12" i="53"/>
  <c r="C65" i="53" s="1"/>
  <c r="C11" i="53"/>
  <c r="C64" i="53" s="1"/>
  <c r="D162" i="53"/>
  <c r="D229" i="53"/>
  <c r="G35" i="61"/>
  <c r="D11" i="21"/>
  <c r="I39" i="48"/>
  <c r="C14" i="53"/>
  <c r="C67" i="53" s="1"/>
  <c r="G34" i="29"/>
  <c r="C50" i="22" l="1"/>
  <c r="D47" i="22" s="1"/>
  <c r="D50" i="22" s="1"/>
  <c r="E47" i="22" s="1"/>
  <c r="E50" i="22" s="1"/>
  <c r="F47" i="22" s="1"/>
  <c r="F50" i="22" s="1"/>
  <c r="G47" i="22" s="1"/>
  <c r="G50" i="22" s="1"/>
  <c r="H47" i="22" s="1"/>
  <c r="H50" i="22" s="1"/>
  <c r="I47" i="22" s="1"/>
  <c r="I50" i="22" s="1"/>
  <c r="I78" i="22"/>
  <c r="F78" i="22"/>
  <c r="H78" i="22"/>
  <c r="G78" i="22"/>
  <c r="H218" i="53"/>
  <c r="H151" i="53"/>
  <c r="I30" i="53"/>
  <c r="I83" i="53" s="1"/>
  <c r="H30" i="53"/>
  <c r="H83" i="53" s="1"/>
  <c r="E78" i="22"/>
  <c r="D78" i="22"/>
  <c r="C78" i="22"/>
  <c r="E20" i="62"/>
  <c r="D4" i="23" s="1"/>
  <c r="D8" i="23" s="1"/>
  <c r="E140" i="29"/>
  <c r="E155" i="29"/>
  <c r="E170" i="29"/>
  <c r="E125" i="29"/>
  <c r="D140" i="29"/>
  <c r="D155" i="29"/>
  <c r="D170" i="29"/>
  <c r="D125" i="29"/>
  <c r="F170" i="29"/>
  <c r="F140" i="29"/>
  <c r="F155" i="29"/>
  <c r="F125" i="29"/>
  <c r="C125" i="29"/>
  <c r="C155" i="29"/>
  <c r="C170" i="29"/>
  <c r="C140" i="29"/>
  <c r="D121" i="84"/>
  <c r="B37" i="21" s="1"/>
  <c r="B40" i="21" s="1"/>
  <c r="C131" i="29" s="1"/>
  <c r="F121" i="84"/>
  <c r="D37" i="21" s="1"/>
  <c r="D40" i="21" s="1"/>
  <c r="G117" i="84"/>
  <c r="G121" i="84" s="1"/>
  <c r="E117" i="84"/>
  <c r="E121" i="84" s="1"/>
  <c r="C37" i="21" s="1"/>
  <c r="C40" i="21" s="1"/>
  <c r="D131" i="29" s="1"/>
  <c r="C56" i="22"/>
  <c r="D53" i="22" s="1"/>
  <c r="D56" i="22" s="1"/>
  <c r="E53" i="22" s="1"/>
  <c r="E56" i="22" s="1"/>
  <c r="F53" i="22" s="1"/>
  <c r="F56" i="22" s="1"/>
  <c r="G53" i="22" s="1"/>
  <c r="G56" i="22" s="1"/>
  <c r="H53" i="22" s="1"/>
  <c r="H56" i="22" s="1"/>
  <c r="I53" i="22" s="1"/>
  <c r="I56" i="22" s="1"/>
  <c r="F55" i="22"/>
  <c r="G55" i="22" s="1"/>
  <c r="H55" i="22" s="1"/>
  <c r="I55" i="22" s="1"/>
  <c r="I78" i="84"/>
  <c r="H120" i="84"/>
  <c r="H117" i="84"/>
  <c r="H119" i="84"/>
  <c r="H118" i="84"/>
  <c r="C32" i="22"/>
  <c r="D29" i="22" s="1"/>
  <c r="D32" i="22" s="1"/>
  <c r="E29" i="22" s="1"/>
  <c r="E32" i="22" s="1"/>
  <c r="F29" i="22" s="1"/>
  <c r="F32" i="22" s="1"/>
  <c r="G29" i="22" s="1"/>
  <c r="G32" i="22" s="1"/>
  <c r="H29" i="22" s="1"/>
  <c r="H32" i="22" s="1"/>
  <c r="I29" i="22" s="1"/>
  <c r="I32" i="22" s="1"/>
  <c r="C35" i="22"/>
  <c r="E36" i="22" s="1"/>
  <c r="E58" i="22" s="1"/>
  <c r="D46" i="21" s="1"/>
  <c r="F11" i="29" s="1"/>
  <c r="C18" i="68"/>
  <c r="C22" i="68"/>
  <c r="F10" i="62"/>
  <c r="F12" i="62" s="1"/>
  <c r="E19" i="62" s="1"/>
  <c r="K44" i="22"/>
  <c r="L41" i="22" s="1"/>
  <c r="L42" i="22" s="1"/>
  <c r="L44" i="22" s="1"/>
  <c r="M41" i="22" s="1"/>
  <c r="K48" i="22"/>
  <c r="K49" i="22" s="1"/>
  <c r="D49" i="22"/>
  <c r="E49" i="22" s="1"/>
  <c r="F49" i="22" s="1"/>
  <c r="G49" i="22" s="1"/>
  <c r="H49" i="22" s="1"/>
  <c r="I49" i="22" s="1"/>
  <c r="H83" i="84"/>
  <c r="F14" i="21" s="1"/>
  <c r="D40" i="53"/>
  <c r="D93" i="53" s="1"/>
  <c r="E161" i="53" s="1"/>
  <c r="D154" i="53"/>
  <c r="D223" i="53"/>
  <c r="D156" i="53"/>
  <c r="D35" i="53"/>
  <c r="D88" i="53" s="1"/>
  <c r="B37" i="55"/>
  <c r="B94" i="55" s="1"/>
  <c r="C51" i="53"/>
  <c r="C104" i="53" s="1"/>
  <c r="D172" i="53" s="1"/>
  <c r="C23" i="53"/>
  <c r="C76" i="53" s="1"/>
  <c r="D135" i="53"/>
  <c r="D202" i="53"/>
  <c r="B36" i="55"/>
  <c r="B93" i="55" s="1"/>
  <c r="J38" i="61"/>
  <c r="G10" i="21"/>
  <c r="I34" i="42"/>
  <c r="C52" i="53"/>
  <c r="C105" i="53" s="1"/>
  <c r="D173" i="53" s="1"/>
  <c r="E25" i="21"/>
  <c r="H48" i="61"/>
  <c r="H57" i="48"/>
  <c r="H59" i="48" s="1"/>
  <c r="I48" i="61"/>
  <c r="F25" i="21"/>
  <c r="I57" i="48"/>
  <c r="J39" i="48"/>
  <c r="D241" i="53"/>
  <c r="D177" i="53"/>
  <c r="D226" i="53"/>
  <c r="D159" i="53"/>
  <c r="C49" i="53"/>
  <c r="C102" i="53" s="1"/>
  <c r="D265" i="55"/>
  <c r="B152" i="55"/>
  <c r="D211" i="55" s="1"/>
  <c r="D158" i="53"/>
  <c r="D225" i="53"/>
  <c r="D10" i="53"/>
  <c r="D63" i="53" s="1"/>
  <c r="C35" i="55"/>
  <c r="J273" i="53"/>
  <c r="H36" i="21" s="1"/>
  <c r="B11" i="55"/>
  <c r="D35" i="29"/>
  <c r="K56" i="22"/>
  <c r="L53" i="22" s="1"/>
  <c r="D16" i="53"/>
  <c r="D69" i="53" s="1"/>
  <c r="E221" i="53"/>
  <c r="E154" i="53"/>
  <c r="C20" i="53"/>
  <c r="C73" i="53" s="1"/>
  <c r="D157" i="53"/>
  <c r="D224" i="53"/>
  <c r="D136" i="53"/>
  <c r="D203" i="53"/>
  <c r="C35" i="29"/>
  <c r="H43" i="22"/>
  <c r="B14" i="55"/>
  <c r="B71" i="55" s="1"/>
  <c r="C47" i="53"/>
  <c r="C100" i="53" s="1"/>
  <c r="C24" i="53"/>
  <c r="C77" i="53" s="1"/>
  <c r="C48" i="53"/>
  <c r="C101" i="53" s="1"/>
  <c r="E40" i="53"/>
  <c r="E93" i="53" s="1"/>
  <c r="J29" i="42"/>
  <c r="J27" i="42"/>
  <c r="J34" i="42" s="1"/>
  <c r="J28" i="42"/>
  <c r="J37" i="42"/>
  <c r="J43" i="42" s="1"/>
  <c r="H34" i="21" s="1"/>
  <c r="J21" i="42"/>
  <c r="J23" i="42" s="1"/>
  <c r="C41" i="55"/>
  <c r="C98" i="55" s="1"/>
  <c r="C18" i="53"/>
  <c r="C71" i="53" s="1"/>
  <c r="B12" i="55"/>
  <c r="B69" i="55" s="1"/>
  <c r="G48" i="61"/>
  <c r="D25" i="21"/>
  <c r="G57" i="48"/>
  <c r="G59" i="48" s="1"/>
  <c r="F24" i="21"/>
  <c r="I51" i="61"/>
  <c r="H45" i="42"/>
  <c r="H47" i="42" s="1"/>
  <c r="D31" i="22"/>
  <c r="E31" i="22" s="1"/>
  <c r="F31" i="22" s="1"/>
  <c r="G31" i="22" s="1"/>
  <c r="H31" i="22" s="1"/>
  <c r="I31" i="22" s="1"/>
  <c r="C19" i="53"/>
  <c r="C72" i="53" s="1"/>
  <c r="D131" i="53"/>
  <c r="D198" i="53"/>
  <c r="B92" i="55"/>
  <c r="B17" i="55"/>
  <c r="B74" i="55" s="1"/>
  <c r="B56" i="55"/>
  <c r="B113" i="55" s="1"/>
  <c r="B58" i="55"/>
  <c r="B115" i="55" s="1"/>
  <c r="D137" i="53"/>
  <c r="D204" i="53"/>
  <c r="B40" i="55"/>
  <c r="B97" i="55" s="1"/>
  <c r="C42" i="53"/>
  <c r="C95" i="53" s="1"/>
  <c r="C50" i="53"/>
  <c r="C103" i="53" s="1"/>
  <c r="E33" i="53"/>
  <c r="E86" i="53" s="1"/>
  <c r="B39" i="55"/>
  <c r="B96" i="55" s="1"/>
  <c r="D9" i="53"/>
  <c r="D62" i="53" s="1"/>
  <c r="B19" i="55"/>
  <c r="B76" i="55" s="1"/>
  <c r="D57" i="53"/>
  <c r="D110" i="53" s="1"/>
  <c r="C26" i="83"/>
  <c r="B38" i="55"/>
  <c r="B95" i="55" s="1"/>
  <c r="D11" i="53"/>
  <c r="D64" i="53" s="1"/>
  <c r="D12" i="53"/>
  <c r="D65" i="53" s="1"/>
  <c r="B150" i="55"/>
  <c r="D209" i="55" s="1"/>
  <c r="D263" i="55"/>
  <c r="C42" i="55"/>
  <c r="C99" i="55" s="1"/>
  <c r="D55" i="53"/>
  <c r="D108" i="53" s="1"/>
  <c r="C25" i="21"/>
  <c r="F48" i="61"/>
  <c r="F57" i="48"/>
  <c r="F59" i="48" s="1"/>
  <c r="E48" i="61"/>
  <c r="B25" i="21"/>
  <c r="E57" i="48"/>
  <c r="E59" i="48" s="1"/>
  <c r="K33" i="48"/>
  <c r="K37" i="48"/>
  <c r="K34" i="48"/>
  <c r="K38" i="48"/>
  <c r="K31" i="48"/>
  <c r="K35" i="48"/>
  <c r="K28" i="48"/>
  <c r="K32" i="48"/>
  <c r="K36" i="48"/>
  <c r="K52" i="48"/>
  <c r="K56" i="48" s="1"/>
  <c r="H35" i="21" s="1"/>
  <c r="K29" i="48"/>
  <c r="K44" i="48"/>
  <c r="K49" i="48" s="1"/>
  <c r="K30" i="48"/>
  <c r="D54" i="53"/>
  <c r="D107" i="53" s="1"/>
  <c r="E229" i="53"/>
  <c r="E162" i="53"/>
  <c r="B15" i="55"/>
  <c r="B72" i="55" s="1"/>
  <c r="C29" i="53"/>
  <c r="C82" i="53" s="1"/>
  <c r="C45" i="53"/>
  <c r="C98" i="53" s="1"/>
  <c r="C53" i="53"/>
  <c r="C106" i="53" s="1"/>
  <c r="D174" i="53" s="1"/>
  <c r="K30" i="22"/>
  <c r="K31" i="22" s="1"/>
  <c r="D13" i="53"/>
  <c r="D66" i="53" s="1"/>
  <c r="E227" i="53"/>
  <c r="E160" i="53"/>
  <c r="F41" i="22"/>
  <c r="C22" i="53"/>
  <c r="C75" i="53" s="1"/>
  <c r="B16" i="55"/>
  <c r="B73" i="55" s="1"/>
  <c r="D130" i="53"/>
  <c r="D197" i="53"/>
  <c r="B13" i="55"/>
  <c r="B70" i="55" s="1"/>
  <c r="D34" i="53"/>
  <c r="D87" i="53" s="1"/>
  <c r="C27" i="53"/>
  <c r="C80" i="53" s="1"/>
  <c r="D178" i="53"/>
  <c r="D242" i="53"/>
  <c r="C43" i="53"/>
  <c r="C96" i="53" s="1"/>
  <c r="F35" i="29"/>
  <c r="D14" i="53"/>
  <c r="D67" i="53" s="1"/>
  <c r="I35" i="61"/>
  <c r="F11" i="21"/>
  <c r="I59" i="48"/>
  <c r="E35" i="29"/>
  <c r="D132" i="53"/>
  <c r="D199" i="53"/>
  <c r="D133" i="53"/>
  <c r="D200" i="53"/>
  <c r="B59" i="55"/>
  <c r="B116" i="55" s="1"/>
  <c r="C44" i="53"/>
  <c r="C97" i="53" s="1"/>
  <c r="B151" i="55"/>
  <c r="D210" i="55" s="1"/>
  <c r="D264" i="55"/>
  <c r="C21" i="53"/>
  <c r="C74" i="53" s="1"/>
  <c r="D176" i="53"/>
  <c r="D240" i="53"/>
  <c r="G25" i="21"/>
  <c r="J48" i="61"/>
  <c r="J57" i="48"/>
  <c r="D175" i="53"/>
  <c r="D239" i="53"/>
  <c r="E41" i="53"/>
  <c r="E94" i="53" s="1"/>
  <c r="D56" i="53"/>
  <c r="D109" i="53" s="1"/>
  <c r="B18" i="55"/>
  <c r="B75" i="55" s="1"/>
  <c r="D38" i="53"/>
  <c r="D91" i="53" s="1"/>
  <c r="C43" i="55"/>
  <c r="C100" i="55" s="1"/>
  <c r="D37" i="53"/>
  <c r="D90" i="53" s="1"/>
  <c r="C25" i="53"/>
  <c r="C78" i="53" s="1"/>
  <c r="B57" i="55"/>
  <c r="B114" i="55" s="1"/>
  <c r="D134" i="53"/>
  <c r="D201" i="53"/>
  <c r="B30" i="55"/>
  <c r="B87" i="55" s="1"/>
  <c r="C46" i="53"/>
  <c r="C99" i="53" s="1"/>
  <c r="E39" i="53"/>
  <c r="E92" i="53" s="1"/>
  <c r="D45" i="83"/>
  <c r="D36" i="53"/>
  <c r="D89" i="53" s="1"/>
  <c r="D15" i="53"/>
  <c r="D68" i="53" s="1"/>
  <c r="D155" i="53"/>
  <c r="D222" i="53"/>
  <c r="C28" i="53"/>
  <c r="C81" i="53" s="1"/>
  <c r="B35" i="69" l="1"/>
  <c r="K35" i="69" s="1"/>
  <c r="I151" i="53"/>
  <c r="I218" i="53"/>
  <c r="J218" i="53"/>
  <c r="J151" i="53"/>
  <c r="F41" i="23"/>
  <c r="F25" i="23"/>
  <c r="F35" i="23"/>
  <c r="F19" i="23"/>
  <c r="F42" i="23"/>
  <c r="F26" i="23"/>
  <c r="F36" i="23"/>
  <c r="F20" i="23"/>
  <c r="F38" i="23"/>
  <c r="F16" i="23"/>
  <c r="F44" i="23"/>
  <c r="F45" i="23"/>
  <c r="F39" i="23"/>
  <c r="F37" i="23"/>
  <c r="F21" i="23"/>
  <c r="F31" i="23"/>
  <c r="F22" i="23"/>
  <c r="F32" i="23"/>
  <c r="F29" i="23"/>
  <c r="F23" i="23"/>
  <c r="F40" i="23"/>
  <c r="F33" i="23"/>
  <c r="F17" i="23"/>
  <c r="F43" i="23"/>
  <c r="F27" i="23"/>
  <c r="F34" i="23"/>
  <c r="F18" i="23"/>
  <c r="F28" i="23"/>
  <c r="F30" i="23"/>
  <c r="F24" i="23"/>
  <c r="C10" i="23"/>
  <c r="D10" i="23" s="1"/>
  <c r="F10" i="23" s="1"/>
  <c r="H124" i="29"/>
  <c r="H139" i="29"/>
  <c r="H154" i="29"/>
  <c r="H169" i="29"/>
  <c r="G125" i="29"/>
  <c r="G140" i="29"/>
  <c r="G155" i="29"/>
  <c r="G170" i="29"/>
  <c r="C10" i="68"/>
  <c r="C161" i="29"/>
  <c r="C176" i="29"/>
  <c r="C146" i="29"/>
  <c r="C25" i="68"/>
  <c r="D176" i="29"/>
  <c r="D146" i="29"/>
  <c r="D161" i="29"/>
  <c r="D25" i="68"/>
  <c r="H47" i="21"/>
  <c r="I79" i="22"/>
  <c r="G47" i="21"/>
  <c r="H79" i="22"/>
  <c r="E161" i="29"/>
  <c r="E146" i="29"/>
  <c r="E131" i="29"/>
  <c r="E176" i="29"/>
  <c r="I36" i="22"/>
  <c r="I58" i="22" s="1"/>
  <c r="H46" i="21" s="1"/>
  <c r="H121" i="84"/>
  <c r="F37" i="21" s="1"/>
  <c r="F40" i="21" s="1"/>
  <c r="J78" i="84"/>
  <c r="I117" i="84"/>
  <c r="I118" i="84"/>
  <c r="I119" i="84"/>
  <c r="I120" i="84"/>
  <c r="K35" i="22"/>
  <c r="K36" i="22" s="1"/>
  <c r="K38" i="22" s="1"/>
  <c r="L35" i="22" s="1"/>
  <c r="L36" i="22" s="1"/>
  <c r="C57" i="22"/>
  <c r="B14" i="69" s="1"/>
  <c r="K14" i="69" s="1"/>
  <c r="L43" i="22"/>
  <c r="H36" i="22"/>
  <c r="H58" i="22" s="1"/>
  <c r="G15" i="69" s="1"/>
  <c r="C9" i="68"/>
  <c r="C36" i="22"/>
  <c r="C58" i="22" s="1"/>
  <c r="B46" i="21" s="1"/>
  <c r="D36" i="22"/>
  <c r="D58" i="22" s="1"/>
  <c r="C46" i="21" s="1"/>
  <c r="F36" i="22"/>
  <c r="F58" i="22" s="1"/>
  <c r="E15" i="69" s="1"/>
  <c r="G36" i="22"/>
  <c r="G58" i="22" s="1"/>
  <c r="F46" i="21" s="1"/>
  <c r="B47" i="21"/>
  <c r="C79" i="22"/>
  <c r="E47" i="21"/>
  <c r="F79" i="22"/>
  <c r="F47" i="21"/>
  <c r="G79" i="22"/>
  <c r="C47" i="21"/>
  <c r="D79" i="22"/>
  <c r="D47" i="21"/>
  <c r="E79" i="22"/>
  <c r="D15" i="69"/>
  <c r="K50" i="22"/>
  <c r="L47" i="22" s="1"/>
  <c r="L48" i="22" s="1"/>
  <c r="L50" i="22" s="1"/>
  <c r="M47" i="22" s="1"/>
  <c r="M48" i="22" s="1"/>
  <c r="M50" i="22" s="1"/>
  <c r="N47" i="22" s="1"/>
  <c r="N48" i="22" s="1"/>
  <c r="E25" i="68"/>
  <c r="I83" i="84"/>
  <c r="G14" i="21" s="1"/>
  <c r="E37" i="21"/>
  <c r="E40" i="21" s="1"/>
  <c r="E228" i="53"/>
  <c r="C118" i="53"/>
  <c r="D187" i="53" s="1"/>
  <c r="E35" i="53"/>
  <c r="E88" i="53" s="1"/>
  <c r="C37" i="55"/>
  <c r="C94" i="55" s="1"/>
  <c r="E223" i="53"/>
  <c r="E156" i="53"/>
  <c r="B146" i="55"/>
  <c r="D205" i="55" s="1"/>
  <c r="D259" i="55"/>
  <c r="K48" i="61"/>
  <c r="H25" i="21"/>
  <c r="K57" i="48"/>
  <c r="B49" i="55"/>
  <c r="B106" i="55" s="1"/>
  <c r="E15" i="53"/>
  <c r="E68" i="53" s="1"/>
  <c r="B22" i="55"/>
  <c r="B79" i="55" s="1"/>
  <c r="D167" i="53"/>
  <c r="D234" i="53"/>
  <c r="D146" i="53"/>
  <c r="D213" i="53"/>
  <c r="D43" i="55"/>
  <c r="D100" i="55" s="1"/>
  <c r="E38" i="53"/>
  <c r="E91" i="53" s="1"/>
  <c r="E56" i="53"/>
  <c r="E109" i="53" s="1"/>
  <c r="C59" i="55"/>
  <c r="C116" i="55" s="1"/>
  <c r="G35" i="29"/>
  <c r="D164" i="53"/>
  <c r="D231" i="53"/>
  <c r="D148" i="53"/>
  <c r="D215" i="53"/>
  <c r="B122" i="55"/>
  <c r="D180" i="55" s="1"/>
  <c r="D235" i="55"/>
  <c r="C114" i="53"/>
  <c r="C16" i="55"/>
  <c r="C73" i="55" s="1"/>
  <c r="E134" i="53"/>
  <c r="E201" i="53"/>
  <c r="D150" i="53"/>
  <c r="D217" i="53"/>
  <c r="E200" i="53"/>
  <c r="E133" i="53"/>
  <c r="B147" i="55"/>
  <c r="D206" i="55" s="1"/>
  <c r="D260" i="55"/>
  <c r="B45" i="55"/>
  <c r="B102" i="55" s="1"/>
  <c r="E9" i="53"/>
  <c r="E62" i="53" s="1"/>
  <c r="B24" i="55"/>
  <c r="B81" i="55" s="1"/>
  <c r="F33" i="53"/>
  <c r="F86" i="53" s="1"/>
  <c r="D171" i="53"/>
  <c r="D238" i="53"/>
  <c r="D262" i="55"/>
  <c r="B149" i="55"/>
  <c r="D208" i="55" s="1"/>
  <c r="B167" i="55"/>
  <c r="D226" i="55" s="1"/>
  <c r="D277" i="55"/>
  <c r="B126" i="55"/>
  <c r="D184" i="55" s="1"/>
  <c r="D239" i="55"/>
  <c r="D140" i="53"/>
  <c r="D207" i="53"/>
  <c r="B47" i="55"/>
  <c r="B104" i="55" s="1"/>
  <c r="B121" i="55"/>
  <c r="D179" i="55" s="1"/>
  <c r="D234" i="55"/>
  <c r="E263" i="55"/>
  <c r="C150" i="55"/>
  <c r="E209" i="55" s="1"/>
  <c r="F161" i="53"/>
  <c r="F228" i="53"/>
  <c r="B29" i="55"/>
  <c r="B86" i="55" s="1"/>
  <c r="D20" i="53"/>
  <c r="D73" i="53" s="1"/>
  <c r="E204" i="53"/>
  <c r="E137" i="53"/>
  <c r="B68" i="55"/>
  <c r="E198" i="53"/>
  <c r="E131" i="53"/>
  <c r="G11" i="21"/>
  <c r="J35" i="61"/>
  <c r="J59" i="48"/>
  <c r="B145" i="55"/>
  <c r="D204" i="55" s="1"/>
  <c r="D258" i="55"/>
  <c r="D28" i="53"/>
  <c r="D81" i="53" s="1"/>
  <c r="E157" i="53"/>
  <c r="E224" i="53"/>
  <c r="C30" i="55"/>
  <c r="C87" i="55" s="1"/>
  <c r="B166" i="55"/>
  <c r="D225" i="55" s="1"/>
  <c r="D276" i="55"/>
  <c r="F229" i="53"/>
  <c r="F162" i="53"/>
  <c r="B25" i="55"/>
  <c r="B82" i="55" s="1"/>
  <c r="E155" i="53"/>
  <c r="E222" i="53"/>
  <c r="B125" i="55"/>
  <c r="D183" i="55" s="1"/>
  <c r="D238" i="55"/>
  <c r="F44" i="22"/>
  <c r="E13" i="53"/>
  <c r="E66" i="53" s="1"/>
  <c r="D53" i="53"/>
  <c r="D106" i="53" s="1"/>
  <c r="E174" i="53" s="1"/>
  <c r="D45" i="53"/>
  <c r="D98" i="53" s="1"/>
  <c r="C15" i="55"/>
  <c r="C72" i="55" s="1"/>
  <c r="E239" i="53"/>
  <c r="E175" i="53"/>
  <c r="K39" i="48"/>
  <c r="B23" i="55"/>
  <c r="B80" i="55" s="1"/>
  <c r="M42" i="22"/>
  <c r="M43" i="22" s="1"/>
  <c r="B46" i="55"/>
  <c r="B103" i="55" s="1"/>
  <c r="E12" i="53"/>
  <c r="E65" i="53" s="1"/>
  <c r="D26" i="83"/>
  <c r="C38" i="55"/>
  <c r="C95" i="55" s="1"/>
  <c r="E242" i="53"/>
  <c r="E178" i="53"/>
  <c r="C19" i="55"/>
  <c r="C76" i="55" s="1"/>
  <c r="C39" i="55"/>
  <c r="C96" i="55" s="1"/>
  <c r="D42" i="53"/>
  <c r="D95" i="53" s="1"/>
  <c r="C56" i="55"/>
  <c r="C113" i="55" s="1"/>
  <c r="D18" i="53"/>
  <c r="D71" i="53" s="1"/>
  <c r="D41" i="55"/>
  <c r="D98" i="55" s="1"/>
  <c r="H24" i="21"/>
  <c r="K51" i="61"/>
  <c r="J45" i="42"/>
  <c r="F40" i="53"/>
  <c r="F93" i="53" s="1"/>
  <c r="B28" i="55"/>
  <c r="B85" i="55" s="1"/>
  <c r="D47" i="53"/>
  <c r="D100" i="53" s="1"/>
  <c r="C14" i="55"/>
  <c r="C71" i="55" s="1"/>
  <c r="D141" i="53"/>
  <c r="D208" i="53"/>
  <c r="B44" i="55"/>
  <c r="B101" i="55" s="1"/>
  <c r="E16" i="53"/>
  <c r="E69" i="53" s="1"/>
  <c r="L54" i="22"/>
  <c r="L55" i="22" s="1"/>
  <c r="E10" i="53"/>
  <c r="E63" i="53" s="1"/>
  <c r="D52" i="53"/>
  <c r="D105" i="53" s="1"/>
  <c r="E173" i="53" s="1"/>
  <c r="H34" i="29"/>
  <c r="D23" i="53"/>
  <c r="D76" i="53" s="1"/>
  <c r="F227" i="53"/>
  <c r="F160" i="53"/>
  <c r="E225" i="53"/>
  <c r="E158" i="53"/>
  <c r="C18" i="55"/>
  <c r="C75" i="55" s="1"/>
  <c r="D278" i="55"/>
  <c r="B168" i="55"/>
  <c r="D227" i="55" s="1"/>
  <c r="D149" i="53"/>
  <c r="D216" i="53"/>
  <c r="E45" i="83"/>
  <c r="E36" i="53"/>
  <c r="E89" i="53" s="1"/>
  <c r="F39" i="53"/>
  <c r="F92" i="53" s="1"/>
  <c r="B139" i="55"/>
  <c r="D197" i="55" s="1"/>
  <c r="D252" i="55"/>
  <c r="C57" i="55"/>
  <c r="C114" i="55" s="1"/>
  <c r="E37" i="53"/>
  <c r="E90" i="53" s="1"/>
  <c r="B51" i="55"/>
  <c r="B108" i="55" s="1"/>
  <c r="B127" i="55"/>
  <c r="D185" i="55" s="1"/>
  <c r="D240" i="55"/>
  <c r="F41" i="53"/>
  <c r="F94" i="53" s="1"/>
  <c r="D21" i="53"/>
  <c r="D74" i="53" s="1"/>
  <c r="D44" i="53"/>
  <c r="D97" i="53" s="1"/>
  <c r="E202" i="53"/>
  <c r="E135" i="53"/>
  <c r="E34" i="53"/>
  <c r="E87" i="53" s="1"/>
  <c r="C119" i="53"/>
  <c r="D22" i="53"/>
  <c r="D75" i="53" s="1"/>
  <c r="B27" i="55"/>
  <c r="B84" i="55" s="1"/>
  <c r="K32" i="22"/>
  <c r="D166" i="53"/>
  <c r="D233" i="53"/>
  <c r="B124" i="55"/>
  <c r="D182" i="55" s="1"/>
  <c r="D237" i="55"/>
  <c r="E54" i="53"/>
  <c r="E107" i="53" s="1"/>
  <c r="E176" i="53"/>
  <c r="E240" i="53"/>
  <c r="E264" i="55"/>
  <c r="C151" i="55"/>
  <c r="E210" i="55" s="1"/>
  <c r="E132" i="53"/>
  <c r="E199" i="53"/>
  <c r="E57" i="53"/>
  <c r="E110" i="53" s="1"/>
  <c r="B128" i="55"/>
  <c r="D186" i="55" s="1"/>
  <c r="D241" i="55"/>
  <c r="B148" i="55"/>
  <c r="D207" i="55" s="1"/>
  <c r="D261" i="55"/>
  <c r="D163" i="53"/>
  <c r="D230" i="53"/>
  <c r="B165" i="55"/>
  <c r="D224" i="55" s="1"/>
  <c r="D275" i="55"/>
  <c r="D257" i="55"/>
  <c r="B144" i="55"/>
  <c r="D203" i="55" s="1"/>
  <c r="B31" i="55"/>
  <c r="B88" i="55" s="1"/>
  <c r="D139" i="53"/>
  <c r="D206" i="53"/>
  <c r="H10" i="21"/>
  <c r="K38" i="61"/>
  <c r="J47" i="42"/>
  <c r="D48" i="53"/>
  <c r="D101" i="53" s="1"/>
  <c r="D24" i="53"/>
  <c r="D77" i="53" s="1"/>
  <c r="D168" i="53"/>
  <c r="D235" i="53"/>
  <c r="B123" i="55"/>
  <c r="D181" i="55" s="1"/>
  <c r="D236" i="55"/>
  <c r="I43" i="22"/>
  <c r="C92" i="55"/>
  <c r="D49" i="53"/>
  <c r="D102" i="53" s="1"/>
  <c r="B20" i="55"/>
  <c r="B77" i="55" s="1"/>
  <c r="B50" i="55"/>
  <c r="B107" i="55" s="1"/>
  <c r="D144" i="53"/>
  <c r="D211" i="53"/>
  <c r="E136" i="53"/>
  <c r="E203" i="53"/>
  <c r="D46" i="53"/>
  <c r="D99" i="53" s="1"/>
  <c r="D25" i="53"/>
  <c r="D78" i="53" s="1"/>
  <c r="E265" i="55"/>
  <c r="C152" i="55"/>
  <c r="E211" i="55" s="1"/>
  <c r="E159" i="53"/>
  <c r="E226" i="53"/>
  <c r="E241" i="53"/>
  <c r="E177" i="53"/>
  <c r="D142" i="53"/>
  <c r="D209" i="53"/>
  <c r="D88" i="22"/>
  <c r="F93" i="29"/>
  <c r="E57" i="29"/>
  <c r="D165" i="53"/>
  <c r="D232" i="53"/>
  <c r="E14" i="53"/>
  <c r="E67" i="53" s="1"/>
  <c r="D43" i="53"/>
  <c r="D96" i="53" s="1"/>
  <c r="D27" i="53"/>
  <c r="D80" i="53" s="1"/>
  <c r="C13" i="55"/>
  <c r="C70" i="55" s="1"/>
  <c r="C116" i="53"/>
  <c r="C115" i="53"/>
  <c r="D143" i="53"/>
  <c r="D210" i="53"/>
  <c r="B48" i="55"/>
  <c r="B105" i="55" s="1"/>
  <c r="D29" i="53"/>
  <c r="D82" i="53" s="1"/>
  <c r="E55" i="53"/>
  <c r="E108" i="53" s="1"/>
  <c r="D42" i="55"/>
  <c r="D99" i="55" s="1"/>
  <c r="E11" i="53"/>
  <c r="E64" i="53" s="1"/>
  <c r="B26" i="55"/>
  <c r="B83" i="55" s="1"/>
  <c r="E130" i="53"/>
  <c r="E197" i="53"/>
  <c r="F221" i="53"/>
  <c r="F154" i="53"/>
  <c r="D50" i="53"/>
  <c r="D103" i="53" s="1"/>
  <c r="C40" i="55"/>
  <c r="C97" i="55" s="1"/>
  <c r="C58" i="55"/>
  <c r="C115" i="55" s="1"/>
  <c r="C17" i="55"/>
  <c r="C74" i="55" s="1"/>
  <c r="D19" i="53"/>
  <c r="D72" i="53" s="1"/>
  <c r="C12" i="55"/>
  <c r="C69" i="55" s="1"/>
  <c r="D169" i="53"/>
  <c r="D236" i="53"/>
  <c r="D145" i="53"/>
  <c r="D212" i="53"/>
  <c r="B52" i="55"/>
  <c r="B109" i="55" s="1"/>
  <c r="C11" i="55"/>
  <c r="E25" i="83"/>
  <c r="D35" i="55"/>
  <c r="B21" i="55"/>
  <c r="B78" i="55" s="1"/>
  <c r="D170" i="53"/>
  <c r="D237" i="53"/>
  <c r="G24" i="21"/>
  <c r="J51" i="61"/>
  <c r="I45" i="42"/>
  <c r="I47" i="42" s="1"/>
  <c r="C36" i="55"/>
  <c r="C93" i="55" s="1"/>
  <c r="D51" i="53"/>
  <c r="D104" i="53" s="1"/>
  <c r="E172" i="53" s="1"/>
  <c r="C35" i="69" l="1"/>
  <c r="D35" i="69" s="1"/>
  <c r="E35" i="69" s="1"/>
  <c r="F35" i="69" s="1"/>
  <c r="G35" i="69" s="1"/>
  <c r="H35" i="69" s="1"/>
  <c r="E93" i="29"/>
  <c r="E11" i="29"/>
  <c r="B88" i="22"/>
  <c r="D11" i="29"/>
  <c r="I57" i="29"/>
  <c r="J11" i="29"/>
  <c r="G57" i="29"/>
  <c r="H11" i="29"/>
  <c r="I169" i="29"/>
  <c r="I124" i="29"/>
  <c r="I139" i="29"/>
  <c r="I154" i="29"/>
  <c r="H140" i="29"/>
  <c r="H155" i="29"/>
  <c r="H170" i="29"/>
  <c r="H125" i="29"/>
  <c r="K58" i="22"/>
  <c r="B89" i="22" s="1"/>
  <c r="C88" i="22"/>
  <c r="H88" i="22"/>
  <c r="H15" i="69"/>
  <c r="D57" i="29"/>
  <c r="G46" i="21"/>
  <c r="K37" i="22"/>
  <c r="K59" i="22" s="1"/>
  <c r="K57" i="22"/>
  <c r="I94" i="29"/>
  <c r="I12" i="29"/>
  <c r="H58" i="29"/>
  <c r="J94" i="29"/>
  <c r="J12" i="29"/>
  <c r="I58" i="29"/>
  <c r="F146" i="29"/>
  <c r="F161" i="29"/>
  <c r="F176" i="29"/>
  <c r="F131" i="29"/>
  <c r="G176" i="29"/>
  <c r="G161" i="29"/>
  <c r="G146" i="29"/>
  <c r="G131" i="29"/>
  <c r="J93" i="29"/>
  <c r="B15" i="69"/>
  <c r="D93" i="29"/>
  <c r="C37" i="22"/>
  <c r="D37" i="22" s="1"/>
  <c r="C38" i="22"/>
  <c r="C60" i="22" s="1"/>
  <c r="E46" i="21"/>
  <c r="C57" i="29"/>
  <c r="B19" i="69"/>
  <c r="I121" i="84"/>
  <c r="J117" i="84"/>
  <c r="J119" i="84"/>
  <c r="J118" i="84"/>
  <c r="J120" i="84"/>
  <c r="F15" i="69"/>
  <c r="C15" i="69"/>
  <c r="D58" i="29"/>
  <c r="E12" i="29"/>
  <c r="E94" i="29"/>
  <c r="F58" i="29"/>
  <c r="G94" i="29"/>
  <c r="G12" i="29"/>
  <c r="E58" i="29"/>
  <c r="F94" i="29"/>
  <c r="F12" i="29"/>
  <c r="H12" i="29"/>
  <c r="G58" i="29"/>
  <c r="H94" i="29"/>
  <c r="C58" i="29"/>
  <c r="D94" i="29"/>
  <c r="D12" i="29"/>
  <c r="L49" i="22"/>
  <c r="M49" i="22" s="1"/>
  <c r="N49" i="22" s="1"/>
  <c r="H93" i="29"/>
  <c r="F88" i="22"/>
  <c r="N50" i="22"/>
  <c r="O47" i="22" s="1"/>
  <c r="O48" i="22" s="1"/>
  <c r="L38" i="22"/>
  <c r="M35" i="22" s="1"/>
  <c r="G25" i="68"/>
  <c r="F25" i="68"/>
  <c r="J83" i="84"/>
  <c r="H14" i="21" s="1"/>
  <c r="D250" i="53"/>
  <c r="D37" i="55"/>
  <c r="D94" i="55" s="1"/>
  <c r="C146" i="55"/>
  <c r="E205" i="55" s="1"/>
  <c r="E259" i="55"/>
  <c r="F35" i="53"/>
  <c r="F88" i="53" s="1"/>
  <c r="D116" i="53"/>
  <c r="E184" i="53" s="1"/>
  <c r="D254" i="53"/>
  <c r="F223" i="53"/>
  <c r="F156" i="53"/>
  <c r="E247" i="53"/>
  <c r="E35" i="55"/>
  <c r="F25" i="83"/>
  <c r="B161" i="55"/>
  <c r="D220" i="55" s="1"/>
  <c r="D274" i="55"/>
  <c r="E234" i="55"/>
  <c r="C121" i="55"/>
  <c r="E179" i="55" s="1"/>
  <c r="C126" i="55"/>
  <c r="E184" i="55" s="1"/>
  <c r="E239" i="55"/>
  <c r="E262" i="55"/>
  <c r="C149" i="55"/>
  <c r="E208" i="55" s="1"/>
  <c r="D119" i="53"/>
  <c r="B135" i="55"/>
  <c r="D193" i="55" s="1"/>
  <c r="D248" i="55"/>
  <c r="E42" i="55"/>
  <c r="E99" i="55" s="1"/>
  <c r="E29" i="53"/>
  <c r="E82" i="53" s="1"/>
  <c r="D184" i="53"/>
  <c r="D247" i="53"/>
  <c r="E27" i="53"/>
  <c r="E80" i="53" s="1"/>
  <c r="F202" i="53"/>
  <c r="F135" i="53"/>
  <c r="B159" i="55"/>
  <c r="D218" i="55" s="1"/>
  <c r="D272" i="55"/>
  <c r="B129" i="55"/>
  <c r="D187" i="55" s="1"/>
  <c r="D242" i="55"/>
  <c r="E49" i="53"/>
  <c r="E102" i="53" s="1"/>
  <c r="E145" i="53"/>
  <c r="E212" i="53"/>
  <c r="E169" i="53"/>
  <c r="E236" i="53"/>
  <c r="I34" i="29"/>
  <c r="L29" i="22"/>
  <c r="K60" i="22"/>
  <c r="D188" i="53"/>
  <c r="D251" i="53"/>
  <c r="G41" i="53"/>
  <c r="G94" i="53" s="1"/>
  <c r="B160" i="55"/>
  <c r="D219" i="55" s="1"/>
  <c r="D273" i="55"/>
  <c r="D57" i="55"/>
  <c r="D114" i="55" s="1"/>
  <c r="G39" i="53"/>
  <c r="G92" i="53" s="1"/>
  <c r="D18" i="55"/>
  <c r="D75" i="55" s="1"/>
  <c r="E23" i="53"/>
  <c r="E76" i="53" s="1"/>
  <c r="F10" i="53"/>
  <c r="F63" i="53" s="1"/>
  <c r="F16" i="53"/>
  <c r="F69" i="53" s="1"/>
  <c r="E47" i="53"/>
  <c r="E100" i="53" s="1"/>
  <c r="G228" i="53"/>
  <c r="G161" i="53"/>
  <c r="E18" i="53"/>
  <c r="E71" i="53" s="1"/>
  <c r="B61" i="55"/>
  <c r="E42" i="53"/>
  <c r="E95" i="53" s="1"/>
  <c r="E26" i="83"/>
  <c r="D38" i="55"/>
  <c r="D95" i="55" s="1"/>
  <c r="B155" i="55"/>
  <c r="D214" i="55" s="1"/>
  <c r="D268" i="55"/>
  <c r="C23" i="55"/>
  <c r="C80" i="55" s="1"/>
  <c r="E45" i="53"/>
  <c r="E98" i="53" s="1"/>
  <c r="F134" i="53"/>
  <c r="F201" i="53"/>
  <c r="C25" i="55"/>
  <c r="C82" i="55" s="1"/>
  <c r="B120" i="55"/>
  <c r="D233" i="55"/>
  <c r="C29" i="55"/>
  <c r="C86" i="55" s="1"/>
  <c r="C47" i="55"/>
  <c r="C104" i="55" s="1"/>
  <c r="G33" i="53"/>
  <c r="G86" i="53" s="1"/>
  <c r="F9" i="53"/>
  <c r="F62" i="53" s="1"/>
  <c r="C45" i="55"/>
  <c r="C102" i="55" s="1"/>
  <c r="F56" i="53"/>
  <c r="F109" i="53" s="1"/>
  <c r="E43" i="55"/>
  <c r="E100" i="55" s="1"/>
  <c r="B131" i="55"/>
  <c r="D189" i="55" s="1"/>
  <c r="D244" i="55"/>
  <c r="B158" i="55"/>
  <c r="D217" i="55" s="1"/>
  <c r="D271" i="55"/>
  <c r="D36" i="55"/>
  <c r="D93" i="55" s="1"/>
  <c r="C21" i="55"/>
  <c r="C78" i="55" s="1"/>
  <c r="C68" i="55"/>
  <c r="D12" i="55"/>
  <c r="D69" i="55" s="1"/>
  <c r="D17" i="55"/>
  <c r="D74" i="55" s="1"/>
  <c r="D40" i="55"/>
  <c r="D97" i="55" s="1"/>
  <c r="F199" i="53"/>
  <c r="F132" i="53"/>
  <c r="F240" i="53"/>
  <c r="F176" i="53"/>
  <c r="C48" i="55"/>
  <c r="C105" i="55" s="1"/>
  <c r="C122" i="55"/>
  <c r="E180" i="55" s="1"/>
  <c r="E235" i="55"/>
  <c r="E231" i="53"/>
  <c r="E164" i="53"/>
  <c r="F14" i="53"/>
  <c r="F67" i="53" s="1"/>
  <c r="E257" i="55"/>
  <c r="C144" i="55"/>
  <c r="E203" i="55" s="1"/>
  <c r="E24" i="53"/>
  <c r="E77" i="53" s="1"/>
  <c r="E48" i="53"/>
  <c r="E101" i="53" s="1"/>
  <c r="C31" i="55"/>
  <c r="C88" i="55" s="1"/>
  <c r="C27" i="55"/>
  <c r="C84" i="55" s="1"/>
  <c r="F222" i="53"/>
  <c r="F155" i="53"/>
  <c r="E165" i="53"/>
  <c r="E232" i="53"/>
  <c r="E209" i="53"/>
  <c r="E142" i="53"/>
  <c r="F225" i="53"/>
  <c r="F158" i="53"/>
  <c r="F157" i="53"/>
  <c r="F224" i="53"/>
  <c r="E52" i="53"/>
  <c r="E105" i="53" s="1"/>
  <c r="F173" i="53" s="1"/>
  <c r="L56" i="22"/>
  <c r="M53" i="22" s="1"/>
  <c r="C44" i="55"/>
  <c r="C101" i="55" s="1"/>
  <c r="C123" i="55"/>
  <c r="E181" i="55" s="1"/>
  <c r="E236" i="55"/>
  <c r="G40" i="53"/>
  <c r="G93" i="53" s="1"/>
  <c r="F263" i="55"/>
  <c r="D150" i="55"/>
  <c r="F209" i="55" s="1"/>
  <c r="E275" i="55"/>
  <c r="C165" i="55"/>
  <c r="E224" i="55" s="1"/>
  <c r="E261" i="55"/>
  <c r="C148" i="55"/>
  <c r="E207" i="55" s="1"/>
  <c r="E241" i="55"/>
  <c r="C128" i="55"/>
  <c r="E186" i="55" s="1"/>
  <c r="F200" i="53"/>
  <c r="F133" i="53"/>
  <c r="B132" i="55"/>
  <c r="D190" i="55" s="1"/>
  <c r="D245" i="55"/>
  <c r="E237" i="55"/>
  <c r="C124" i="55"/>
  <c r="E182" i="55" s="1"/>
  <c r="F13" i="53"/>
  <c r="F66" i="53" s="1"/>
  <c r="B134" i="55"/>
  <c r="D192" i="55" s="1"/>
  <c r="D247" i="55"/>
  <c r="B33" i="55"/>
  <c r="B138" i="55"/>
  <c r="D196" i="55" s="1"/>
  <c r="D251" i="55"/>
  <c r="B156" i="55"/>
  <c r="D215" i="55" s="1"/>
  <c r="D269" i="55"/>
  <c r="C24" i="55"/>
  <c r="C81" i="55" s="1"/>
  <c r="B154" i="55"/>
  <c r="D213" i="55" s="1"/>
  <c r="D267" i="55"/>
  <c r="E238" i="55"/>
  <c r="C125" i="55"/>
  <c r="E183" i="55" s="1"/>
  <c r="E278" i="55"/>
  <c r="C168" i="55"/>
  <c r="E227" i="55" s="1"/>
  <c r="F226" i="53"/>
  <c r="F159" i="53"/>
  <c r="F203" i="53"/>
  <c r="F136" i="53"/>
  <c r="B130" i="55"/>
  <c r="D188" i="55" s="1"/>
  <c r="D243" i="55"/>
  <c r="D11" i="55"/>
  <c r="E207" i="53"/>
  <c r="E140" i="53"/>
  <c r="D58" i="55"/>
  <c r="D115" i="55" s="1"/>
  <c r="E171" i="53"/>
  <c r="E238" i="53"/>
  <c r="D118" i="53"/>
  <c r="D114" i="53"/>
  <c r="E253" i="53" s="1"/>
  <c r="F11" i="53"/>
  <c r="F64" i="53" s="1"/>
  <c r="F55" i="53"/>
  <c r="F108" i="53" s="1"/>
  <c r="B157" i="55"/>
  <c r="D216" i="55" s="1"/>
  <c r="D270" i="55"/>
  <c r="D13" i="55"/>
  <c r="D70" i="55" s="1"/>
  <c r="E43" i="53"/>
  <c r="E96" i="53" s="1"/>
  <c r="E213" i="53"/>
  <c r="E146" i="53"/>
  <c r="E167" i="53"/>
  <c r="E234" i="53"/>
  <c r="B140" i="55"/>
  <c r="D198" i="55" s="1"/>
  <c r="D253" i="55"/>
  <c r="F242" i="53"/>
  <c r="F178" i="53"/>
  <c r="F175" i="53"/>
  <c r="F239" i="53"/>
  <c r="B136" i="55"/>
  <c r="D194" i="55" s="1"/>
  <c r="D249" i="55"/>
  <c r="E143" i="53"/>
  <c r="E210" i="53"/>
  <c r="F34" i="53"/>
  <c r="F87" i="53" s="1"/>
  <c r="E44" i="53"/>
  <c r="E97" i="53" s="1"/>
  <c r="E21" i="53"/>
  <c r="E74" i="53" s="1"/>
  <c r="F37" i="53"/>
  <c r="F90" i="53" s="1"/>
  <c r="F45" i="83"/>
  <c r="F36" i="53"/>
  <c r="F89" i="53" s="1"/>
  <c r="B153" i="55"/>
  <c r="D212" i="55" s="1"/>
  <c r="D266" i="55"/>
  <c r="D14" i="55"/>
  <c r="D71" i="55" s="1"/>
  <c r="C28" i="55"/>
  <c r="C85" i="55" s="1"/>
  <c r="E41" i="55"/>
  <c r="E98" i="55" s="1"/>
  <c r="D56" i="55"/>
  <c r="D113" i="55" s="1"/>
  <c r="D39" i="55"/>
  <c r="D96" i="55" s="1"/>
  <c r="D19" i="55"/>
  <c r="D76" i="55" s="1"/>
  <c r="F12" i="53"/>
  <c r="F65" i="53" s="1"/>
  <c r="H11" i="21"/>
  <c r="K35" i="61"/>
  <c r="K59" i="48"/>
  <c r="D15" i="55"/>
  <c r="D72" i="55" s="1"/>
  <c r="E53" i="53"/>
  <c r="E106" i="53" s="1"/>
  <c r="F174" i="53" s="1"/>
  <c r="C139" i="55"/>
  <c r="E197" i="55" s="1"/>
  <c r="E252" i="55"/>
  <c r="E216" i="53"/>
  <c r="E149" i="53"/>
  <c r="H35" i="29"/>
  <c r="E141" i="53"/>
  <c r="E208" i="53"/>
  <c r="B133" i="55"/>
  <c r="D191" i="55" s="1"/>
  <c r="D246" i="55"/>
  <c r="D16" i="55"/>
  <c r="D73" i="55" s="1"/>
  <c r="D59" i="55"/>
  <c r="D116" i="55" s="1"/>
  <c r="F38" i="53"/>
  <c r="F91" i="53" s="1"/>
  <c r="F15" i="53"/>
  <c r="F68" i="53" s="1"/>
  <c r="E258" i="55"/>
  <c r="C145" i="55"/>
  <c r="E204" i="55" s="1"/>
  <c r="E51" i="53"/>
  <c r="E104" i="53" s="1"/>
  <c r="F172" i="53" s="1"/>
  <c r="D92" i="55"/>
  <c r="C52" i="55"/>
  <c r="C109" i="55" s="1"/>
  <c r="E19" i="53"/>
  <c r="E72" i="53" s="1"/>
  <c r="E277" i="55"/>
  <c r="C167" i="55"/>
  <c r="E226" i="55" s="1"/>
  <c r="E50" i="53"/>
  <c r="E103" i="53" s="1"/>
  <c r="D115" i="53"/>
  <c r="C26" i="55"/>
  <c r="C83" i="55" s="1"/>
  <c r="F264" i="55"/>
  <c r="D151" i="55"/>
  <c r="F210" i="55" s="1"/>
  <c r="E150" i="53"/>
  <c r="E217" i="53"/>
  <c r="D183" i="53"/>
  <c r="D246" i="53"/>
  <c r="E148" i="53"/>
  <c r="E215" i="53"/>
  <c r="E25" i="53"/>
  <c r="E78" i="53" s="1"/>
  <c r="E46" i="53"/>
  <c r="E99" i="53" s="1"/>
  <c r="C50" i="55"/>
  <c r="C107" i="55" s="1"/>
  <c r="C20" i="55"/>
  <c r="C77" i="55" s="1"/>
  <c r="E237" i="53"/>
  <c r="E170" i="53"/>
  <c r="F57" i="53"/>
  <c r="F110" i="53" s="1"/>
  <c r="F54" i="53"/>
  <c r="F107" i="53" s="1"/>
  <c r="E22" i="53"/>
  <c r="E75" i="53" s="1"/>
  <c r="G229" i="53"/>
  <c r="G162" i="53"/>
  <c r="C51" i="55"/>
  <c r="C108" i="55" s="1"/>
  <c r="E276" i="55"/>
  <c r="C166" i="55"/>
  <c r="E225" i="55" s="1"/>
  <c r="G160" i="53"/>
  <c r="G227" i="53"/>
  <c r="C127" i="55"/>
  <c r="E185" i="55" s="1"/>
  <c r="E240" i="55"/>
  <c r="E211" i="53"/>
  <c r="E144" i="53"/>
  <c r="F198" i="53"/>
  <c r="F131" i="53"/>
  <c r="F204" i="53"/>
  <c r="F137" i="53"/>
  <c r="E235" i="53"/>
  <c r="E168" i="53"/>
  <c r="B137" i="55"/>
  <c r="D195" i="55" s="1"/>
  <c r="D250" i="55"/>
  <c r="E139" i="53"/>
  <c r="E206" i="53"/>
  <c r="D253" i="53"/>
  <c r="E163" i="53"/>
  <c r="E230" i="53"/>
  <c r="E260" i="55"/>
  <c r="C147" i="55"/>
  <c r="E206" i="55" s="1"/>
  <c r="C46" i="55"/>
  <c r="C103" i="55" s="1"/>
  <c r="M44" i="22"/>
  <c r="E233" i="53"/>
  <c r="E166" i="53"/>
  <c r="G41" i="22"/>
  <c r="D30" i="55"/>
  <c r="D87" i="55" s="1"/>
  <c r="E28" i="53"/>
  <c r="E81" i="53" s="1"/>
  <c r="E10" i="23"/>
  <c r="G10" i="23" s="1"/>
  <c r="E20" i="53"/>
  <c r="E73" i="53" s="1"/>
  <c r="G221" i="53"/>
  <c r="G154" i="53"/>
  <c r="F130" i="53"/>
  <c r="F197" i="53"/>
  <c r="D182" i="53"/>
  <c r="D245" i="53"/>
  <c r="F177" i="53"/>
  <c r="F241" i="53"/>
  <c r="F265" i="55"/>
  <c r="D152" i="55"/>
  <c r="F211" i="55" s="1"/>
  <c r="C22" i="55"/>
  <c r="C79" i="55" s="1"/>
  <c r="C49" i="55"/>
  <c r="C106" i="55" s="1"/>
  <c r="G93" i="29" l="1"/>
  <c r="G11" i="29"/>
  <c r="H57" i="29"/>
  <c r="I11" i="29"/>
  <c r="B16" i="69"/>
  <c r="K16" i="69" s="1"/>
  <c r="K15" i="69"/>
  <c r="I140" i="29"/>
  <c r="I155" i="29"/>
  <c r="I170" i="29"/>
  <c r="I125" i="29"/>
  <c r="C19" i="69"/>
  <c r="D19" i="69" s="1"/>
  <c r="E19" i="69" s="1"/>
  <c r="F19" i="69" s="1"/>
  <c r="G19" i="69" s="1"/>
  <c r="H19" i="69" s="1"/>
  <c r="K19" i="69"/>
  <c r="O49" i="22"/>
  <c r="D35" i="22"/>
  <c r="D57" i="22" s="1"/>
  <c r="C14" i="69" s="1"/>
  <c r="C16" i="69" s="1"/>
  <c r="G88" i="22"/>
  <c r="I93" i="29"/>
  <c r="C59" i="22"/>
  <c r="L37" i="22"/>
  <c r="F57" i="29"/>
  <c r="E88" i="22"/>
  <c r="J121" i="84"/>
  <c r="O50" i="22"/>
  <c r="P47" i="22" s="1"/>
  <c r="P48" i="22" s="1"/>
  <c r="P50" i="22" s="1"/>
  <c r="Q47" i="22" s="1"/>
  <c r="Q48" i="22" s="1"/>
  <c r="Q50" i="22" s="1"/>
  <c r="E37" i="22"/>
  <c r="D59" i="22"/>
  <c r="G37" i="21"/>
  <c r="G40" i="21" s="1"/>
  <c r="D191" i="53"/>
  <c r="G35" i="53"/>
  <c r="G88" i="53" s="1"/>
  <c r="E37" i="55"/>
  <c r="E94" i="55" s="1"/>
  <c r="G223" i="53"/>
  <c r="G156" i="53"/>
  <c r="F259" i="55"/>
  <c r="D146" i="55"/>
  <c r="F205" i="55" s="1"/>
  <c r="D260" i="53"/>
  <c r="D262" i="53" s="1"/>
  <c r="D22" i="55"/>
  <c r="D79" i="55" s="1"/>
  <c r="F208" i="53"/>
  <c r="F141" i="53"/>
  <c r="D139" i="55"/>
  <c r="F197" i="55" s="1"/>
  <c r="F252" i="55"/>
  <c r="N41" i="22"/>
  <c r="D51" i="55"/>
  <c r="D108" i="55" s="1"/>
  <c r="F143" i="53"/>
  <c r="F210" i="53"/>
  <c r="G175" i="53"/>
  <c r="G239" i="53"/>
  <c r="D20" i="55"/>
  <c r="D77" i="55" s="1"/>
  <c r="F46" i="53"/>
  <c r="F99" i="53" s="1"/>
  <c r="F257" i="55"/>
  <c r="D144" i="55"/>
  <c r="F203" i="55" s="1"/>
  <c r="G159" i="53"/>
  <c r="G226" i="53"/>
  <c r="E15" i="55"/>
  <c r="E72" i="55" s="1"/>
  <c r="G200" i="53"/>
  <c r="G133" i="53"/>
  <c r="F241" i="55"/>
  <c r="D128" i="55"/>
  <c r="F186" i="55" s="1"/>
  <c r="F275" i="55"/>
  <c r="D165" i="55"/>
  <c r="F224" i="55" s="1"/>
  <c r="E250" i="55"/>
  <c r="C137" i="55"/>
  <c r="E195" i="55" s="1"/>
  <c r="G225" i="53"/>
  <c r="G158" i="53"/>
  <c r="F165" i="53"/>
  <c r="F232" i="53"/>
  <c r="F235" i="55"/>
  <c r="D122" i="55"/>
  <c r="F180" i="55" s="1"/>
  <c r="G199" i="53"/>
  <c r="G132" i="53"/>
  <c r="F277" i="55"/>
  <c r="D167" i="55"/>
  <c r="F226" i="55" s="1"/>
  <c r="E11" i="55"/>
  <c r="G201" i="53"/>
  <c r="G134" i="53"/>
  <c r="E249" i="55"/>
  <c r="C136" i="55"/>
  <c r="E194" i="55" s="1"/>
  <c r="D31" i="55"/>
  <c r="D88" i="55" s="1"/>
  <c r="F24" i="53"/>
  <c r="F77" i="53" s="1"/>
  <c r="D48" i="55"/>
  <c r="D105" i="55" s="1"/>
  <c r="F262" i="55"/>
  <c r="D149" i="55"/>
  <c r="F208" i="55" s="1"/>
  <c r="F234" i="55"/>
  <c r="D121" i="55"/>
  <c r="F179" i="55" s="1"/>
  <c r="C33" i="55"/>
  <c r="F258" i="55"/>
  <c r="D145" i="55"/>
  <c r="F204" i="55" s="1"/>
  <c r="G265" i="55"/>
  <c r="E152" i="55"/>
  <c r="G211" i="55" s="1"/>
  <c r="D45" i="55"/>
  <c r="D102" i="55" s="1"/>
  <c r="H33" i="53"/>
  <c r="H86" i="53" s="1"/>
  <c r="I33" i="53"/>
  <c r="I86" i="53" s="1"/>
  <c r="D29" i="55"/>
  <c r="D86" i="55" s="1"/>
  <c r="D178" i="55"/>
  <c r="D284" i="55"/>
  <c r="D285" i="55"/>
  <c r="F45" i="53"/>
  <c r="F98" i="53" s="1"/>
  <c r="F139" i="53"/>
  <c r="F206" i="53"/>
  <c r="F235" i="53"/>
  <c r="F168" i="53"/>
  <c r="G198" i="53"/>
  <c r="G131" i="53"/>
  <c r="F211" i="53"/>
  <c r="F144" i="53"/>
  <c r="H227" i="53"/>
  <c r="H160" i="53"/>
  <c r="F217" i="53"/>
  <c r="F150" i="53"/>
  <c r="E271" i="55"/>
  <c r="C158" i="55"/>
  <c r="E217" i="55" s="1"/>
  <c r="E119" i="53"/>
  <c r="E118" i="53"/>
  <c r="F20" i="53"/>
  <c r="F73" i="53" s="1"/>
  <c r="C11" i="23"/>
  <c r="E30" i="55"/>
  <c r="E87" i="55" s="1"/>
  <c r="G44" i="22"/>
  <c r="E268" i="55"/>
  <c r="C155" i="55"/>
  <c r="E214" i="55" s="1"/>
  <c r="F22" i="53"/>
  <c r="F75" i="53" s="1"/>
  <c r="G54" i="53"/>
  <c r="G107" i="53" s="1"/>
  <c r="E272" i="55"/>
  <c r="C159" i="55"/>
  <c r="E218" i="55" s="1"/>
  <c r="F213" i="53"/>
  <c r="F146" i="53"/>
  <c r="C135" i="55"/>
  <c r="E193" i="55" s="1"/>
  <c r="E248" i="55"/>
  <c r="E183" i="53"/>
  <c r="E246" i="53"/>
  <c r="E274" i="55"/>
  <c r="C161" i="55"/>
  <c r="E220" i="55" s="1"/>
  <c r="G38" i="53"/>
  <c r="G91" i="53" s="1"/>
  <c r="G12" i="53"/>
  <c r="G65" i="53" s="1"/>
  <c r="E19" i="55"/>
  <c r="E76" i="55" s="1"/>
  <c r="E56" i="55"/>
  <c r="E113" i="55" s="1"/>
  <c r="D28" i="55"/>
  <c r="D85" i="55" s="1"/>
  <c r="G37" i="53"/>
  <c r="G90" i="53" s="1"/>
  <c r="F44" i="53"/>
  <c r="F97" i="53" s="1"/>
  <c r="M36" i="22"/>
  <c r="M38" i="22" s="1"/>
  <c r="E13" i="55"/>
  <c r="E70" i="55" s="1"/>
  <c r="G11" i="53"/>
  <c r="G64" i="53" s="1"/>
  <c r="E58" i="55"/>
  <c r="E115" i="55" s="1"/>
  <c r="D68" i="55"/>
  <c r="B65" i="55"/>
  <c r="D200" i="55" s="1"/>
  <c r="B10" i="55"/>
  <c r="G13" i="53"/>
  <c r="G66" i="53" s="1"/>
  <c r="I40" i="53"/>
  <c r="I93" i="53" s="1"/>
  <c r="H40" i="53"/>
  <c r="H93" i="53" s="1"/>
  <c r="E266" i="55"/>
  <c r="C153" i="55"/>
  <c r="E212" i="55" s="1"/>
  <c r="F52" i="53"/>
  <c r="F105" i="53" s="1"/>
  <c r="G173" i="53" s="1"/>
  <c r="D27" i="55"/>
  <c r="D84" i="55" s="1"/>
  <c r="F169" i="53"/>
  <c r="F236" i="53"/>
  <c r="G202" i="53"/>
  <c r="G135" i="53"/>
  <c r="E40" i="55"/>
  <c r="E97" i="55" s="1"/>
  <c r="E12" i="55"/>
  <c r="E69" i="55" s="1"/>
  <c r="E233" i="55"/>
  <c r="C120" i="55"/>
  <c r="E36" i="55"/>
  <c r="E93" i="55" s="1"/>
  <c r="F43" i="55"/>
  <c r="F100" i="55" s="1"/>
  <c r="G197" i="53"/>
  <c r="G130" i="53"/>
  <c r="E269" i="55"/>
  <c r="C156" i="55"/>
  <c r="E215" i="55" s="1"/>
  <c r="C134" i="55"/>
  <c r="E192" i="55" s="1"/>
  <c r="E247" i="55"/>
  <c r="E245" i="55"/>
  <c r="C132" i="55"/>
  <c r="E190" i="55" s="1"/>
  <c r="F260" i="55"/>
  <c r="D147" i="55"/>
  <c r="F206" i="55" s="1"/>
  <c r="F230" i="53"/>
  <c r="F163" i="53"/>
  <c r="F18" i="53"/>
  <c r="F71" i="53" s="1"/>
  <c r="F47" i="53"/>
  <c r="F100" i="53" s="1"/>
  <c r="G10" i="53"/>
  <c r="G63" i="53" s="1"/>
  <c r="F23" i="53"/>
  <c r="F76" i="53" s="1"/>
  <c r="H39" i="53"/>
  <c r="H92" i="53" s="1"/>
  <c r="I39" i="53"/>
  <c r="I92" i="53" s="1"/>
  <c r="L30" i="22"/>
  <c r="L32" i="22" s="1"/>
  <c r="L57" i="22"/>
  <c r="C61" i="55"/>
  <c r="F148" i="53"/>
  <c r="F215" i="53"/>
  <c r="F29" i="53"/>
  <c r="F82" i="53" s="1"/>
  <c r="E188" i="53"/>
  <c r="E251" i="53"/>
  <c r="G25" i="83"/>
  <c r="F35" i="55"/>
  <c r="D49" i="55"/>
  <c r="D106" i="55" s="1"/>
  <c r="E116" i="53"/>
  <c r="E115" i="53"/>
  <c r="F216" i="53"/>
  <c r="F149" i="53"/>
  <c r="D46" i="55"/>
  <c r="D103" i="55" s="1"/>
  <c r="G242" i="53"/>
  <c r="G178" i="53"/>
  <c r="D50" i="55"/>
  <c r="D107" i="55" s="1"/>
  <c r="F25" i="53"/>
  <c r="F78" i="53" s="1"/>
  <c r="D26" i="55"/>
  <c r="D83" i="55" s="1"/>
  <c r="F238" i="53"/>
  <c r="F171" i="53"/>
  <c r="F207" i="53"/>
  <c r="F140" i="53"/>
  <c r="D52" i="55"/>
  <c r="D109" i="55" s="1"/>
  <c r="G203" i="53"/>
  <c r="G136" i="53"/>
  <c r="F278" i="55"/>
  <c r="D168" i="55"/>
  <c r="F227" i="55" s="1"/>
  <c r="F238" i="55"/>
  <c r="D125" i="55"/>
  <c r="F183" i="55" s="1"/>
  <c r="F53" i="53"/>
  <c r="F106" i="53" s="1"/>
  <c r="G174" i="53" s="1"/>
  <c r="F261" i="55"/>
  <c r="D148" i="55"/>
  <c r="F207" i="55" s="1"/>
  <c r="G263" i="55"/>
  <c r="E150" i="55"/>
  <c r="G209" i="55" s="1"/>
  <c r="F236" i="55"/>
  <c r="D123" i="55"/>
  <c r="F181" i="55" s="1"/>
  <c r="G224" i="53"/>
  <c r="G157" i="53"/>
  <c r="F209" i="53"/>
  <c r="F142" i="53"/>
  <c r="G155" i="53"/>
  <c r="G222" i="53"/>
  <c r="F231" i="53"/>
  <c r="F164" i="53"/>
  <c r="G240" i="53"/>
  <c r="G176" i="53"/>
  <c r="E182" i="53"/>
  <c r="E245" i="53"/>
  <c r="E246" i="55"/>
  <c r="C133" i="55"/>
  <c r="E191" i="55" s="1"/>
  <c r="H228" i="53"/>
  <c r="H161" i="53"/>
  <c r="D44" i="55"/>
  <c r="F48" i="53"/>
  <c r="F101" i="53" s="1"/>
  <c r="G14" i="53"/>
  <c r="G67" i="53" s="1"/>
  <c r="E17" i="55"/>
  <c r="E74" i="55" s="1"/>
  <c r="C130" i="55"/>
  <c r="E188" i="55" s="1"/>
  <c r="E243" i="55"/>
  <c r="G241" i="53"/>
  <c r="G177" i="53"/>
  <c r="G9" i="53"/>
  <c r="G62" i="53" s="1"/>
  <c r="D47" i="55"/>
  <c r="D104" i="55" s="1"/>
  <c r="D25" i="55"/>
  <c r="D82" i="55" s="1"/>
  <c r="D23" i="55"/>
  <c r="D80" i="55" s="1"/>
  <c r="F26" i="83"/>
  <c r="E38" i="55"/>
  <c r="E95" i="55" s="1"/>
  <c r="F42" i="53"/>
  <c r="F95" i="53" s="1"/>
  <c r="G137" i="53"/>
  <c r="G204" i="53"/>
  <c r="F240" i="55"/>
  <c r="D127" i="55"/>
  <c r="F185" i="55" s="1"/>
  <c r="F276" i="55"/>
  <c r="D166" i="55"/>
  <c r="F225" i="55" s="1"/>
  <c r="H229" i="53"/>
  <c r="H162" i="53"/>
  <c r="F237" i="53"/>
  <c r="F170" i="53"/>
  <c r="F27" i="53"/>
  <c r="F80" i="53" s="1"/>
  <c r="G264" i="55"/>
  <c r="E151" i="55"/>
  <c r="G210" i="55" s="1"/>
  <c r="E92" i="55"/>
  <c r="C131" i="55"/>
  <c r="E189" i="55" s="1"/>
  <c r="E244" i="55"/>
  <c r="E114" i="53"/>
  <c r="F28" i="53"/>
  <c r="F81" i="53" s="1"/>
  <c r="E273" i="55"/>
  <c r="C160" i="55"/>
  <c r="E219" i="55" s="1"/>
  <c r="G57" i="53"/>
  <c r="G110" i="53" s="1"/>
  <c r="E242" i="55"/>
  <c r="C129" i="55"/>
  <c r="E187" i="55" s="1"/>
  <c r="F234" i="53"/>
  <c r="F167" i="53"/>
  <c r="F50" i="53"/>
  <c r="F103" i="53" s="1"/>
  <c r="F19" i="53"/>
  <c r="F72" i="53" s="1"/>
  <c r="F51" i="53"/>
  <c r="F104" i="53" s="1"/>
  <c r="G172" i="53" s="1"/>
  <c r="G15" i="53"/>
  <c r="G68" i="53" s="1"/>
  <c r="E59" i="55"/>
  <c r="E116" i="55" s="1"/>
  <c r="E16" i="55"/>
  <c r="E73" i="55" s="1"/>
  <c r="F237" i="55"/>
  <c r="D124" i="55"/>
  <c r="F182" i="55" s="1"/>
  <c r="I35" i="29"/>
  <c r="E39" i="55"/>
  <c r="E96" i="55" s="1"/>
  <c r="F41" i="55"/>
  <c r="F98" i="55" s="1"/>
  <c r="E14" i="55"/>
  <c r="E71" i="55" s="1"/>
  <c r="G45" i="83"/>
  <c r="G36" i="53"/>
  <c r="G89" i="53" s="1"/>
  <c r="F21" i="53"/>
  <c r="F74" i="53" s="1"/>
  <c r="G34" i="53"/>
  <c r="G87" i="53" s="1"/>
  <c r="F43" i="53"/>
  <c r="F96" i="53" s="1"/>
  <c r="G55" i="53"/>
  <c r="G108" i="53" s="1"/>
  <c r="E250" i="53"/>
  <c r="E187" i="53"/>
  <c r="D24" i="55"/>
  <c r="D81" i="55" s="1"/>
  <c r="M54" i="22"/>
  <c r="M55" i="22" s="1"/>
  <c r="E253" i="55"/>
  <c r="C140" i="55"/>
  <c r="E198" i="55" s="1"/>
  <c r="F212" i="53"/>
  <c r="F145" i="53"/>
  <c r="E270" i="55"/>
  <c r="C157" i="55"/>
  <c r="E216" i="55" s="1"/>
  <c r="F239" i="55"/>
  <c r="D126" i="55"/>
  <c r="F184" i="55" s="1"/>
  <c r="D21" i="55"/>
  <c r="D78" i="55" s="1"/>
  <c r="G56" i="53"/>
  <c r="G109" i="53" s="1"/>
  <c r="E267" i="55"/>
  <c r="C154" i="55"/>
  <c r="E213" i="55" s="1"/>
  <c r="H221" i="53"/>
  <c r="H154" i="53"/>
  <c r="C138" i="55"/>
  <c r="E196" i="55" s="1"/>
  <c r="E251" i="55"/>
  <c r="F233" i="53"/>
  <c r="F166" i="53"/>
  <c r="G16" i="53"/>
  <c r="G69" i="53" s="1"/>
  <c r="E18" i="55"/>
  <c r="E75" i="55" s="1"/>
  <c r="E57" i="55"/>
  <c r="E114" i="55" s="1"/>
  <c r="I41" i="53"/>
  <c r="I94" i="53" s="1"/>
  <c r="H41" i="53"/>
  <c r="H94" i="53" s="1"/>
  <c r="F49" i="53"/>
  <c r="F102" i="53" s="1"/>
  <c r="F42" i="55"/>
  <c r="F99" i="55" s="1"/>
  <c r="E254" i="53"/>
  <c r="D38" i="22" l="1"/>
  <c r="D60" i="22" s="1"/>
  <c r="H176" i="29"/>
  <c r="H131" i="29"/>
  <c r="H146" i="29"/>
  <c r="H161" i="29"/>
  <c r="P49" i="22"/>
  <c r="Q49" i="22" s="1"/>
  <c r="F37" i="22"/>
  <c r="E59" i="22"/>
  <c r="E35" i="22"/>
  <c r="M56" i="22"/>
  <c r="N53" i="22" s="1"/>
  <c r="H37" i="21"/>
  <c r="H40" i="21" s="1"/>
  <c r="H25" i="68"/>
  <c r="F254" i="53"/>
  <c r="G259" i="55"/>
  <c r="E146" i="55"/>
  <c r="G205" i="55" s="1"/>
  <c r="F37" i="55"/>
  <c r="F94" i="55" s="1"/>
  <c r="E260" i="53"/>
  <c r="I35" i="53"/>
  <c r="I88" i="53" s="1"/>
  <c r="H35" i="53"/>
  <c r="H88" i="53" s="1"/>
  <c r="E191" i="53"/>
  <c r="H223" i="53"/>
  <c r="H156" i="53"/>
  <c r="M29" i="22"/>
  <c r="L60" i="22"/>
  <c r="N35" i="22"/>
  <c r="F18" i="55"/>
  <c r="F75" i="55" s="1"/>
  <c r="E21" i="55"/>
  <c r="E78" i="55" s="1"/>
  <c r="I229" i="53"/>
  <c r="I162" i="53"/>
  <c r="G240" i="55"/>
  <c r="E127" i="55"/>
  <c r="G185" i="55" s="1"/>
  <c r="H204" i="53"/>
  <c r="H137" i="53"/>
  <c r="I56" i="53"/>
  <c r="I109" i="53" s="1"/>
  <c r="H56" i="53"/>
  <c r="H109" i="53" s="1"/>
  <c r="D130" i="55"/>
  <c r="F188" i="55" s="1"/>
  <c r="F243" i="55"/>
  <c r="F246" i="55"/>
  <c r="D133" i="55"/>
  <c r="F191" i="55" s="1"/>
  <c r="G164" i="53"/>
  <c r="G231" i="53"/>
  <c r="G142" i="53"/>
  <c r="G209" i="53"/>
  <c r="G236" i="55"/>
  <c r="E123" i="55"/>
  <c r="G181" i="55" s="1"/>
  <c r="G261" i="55"/>
  <c r="E148" i="55"/>
  <c r="G207" i="55" s="1"/>
  <c r="F59" i="55"/>
  <c r="F116" i="55" s="1"/>
  <c r="G51" i="53"/>
  <c r="G104" i="53" s="1"/>
  <c r="H172" i="53" s="1"/>
  <c r="G50" i="53"/>
  <c r="G103" i="53" s="1"/>
  <c r="F245" i="53"/>
  <c r="F182" i="53"/>
  <c r="G27" i="53"/>
  <c r="G80" i="53" s="1"/>
  <c r="G42" i="53"/>
  <c r="G95" i="53" s="1"/>
  <c r="E23" i="55"/>
  <c r="E80" i="55" s="1"/>
  <c r="E25" i="55"/>
  <c r="E82" i="55" s="1"/>
  <c r="E47" i="55"/>
  <c r="E104" i="55" s="1"/>
  <c r="I14" i="53"/>
  <c r="I67" i="53" s="1"/>
  <c r="H14" i="53"/>
  <c r="H67" i="53" s="1"/>
  <c r="G48" i="53"/>
  <c r="G101" i="53" s="1"/>
  <c r="E52" i="55"/>
  <c r="E109" i="55" s="1"/>
  <c r="E26" i="55"/>
  <c r="E83" i="55" s="1"/>
  <c r="E50" i="55"/>
  <c r="E107" i="55" s="1"/>
  <c r="F271" i="55"/>
  <c r="D158" i="55"/>
  <c r="F217" i="55" s="1"/>
  <c r="G23" i="53"/>
  <c r="G76" i="53" s="1"/>
  <c r="G47" i="53"/>
  <c r="G100" i="53" s="1"/>
  <c r="F114" i="53"/>
  <c r="H265" i="55"/>
  <c r="F152" i="55"/>
  <c r="H211" i="55" s="1"/>
  <c r="E284" i="55"/>
  <c r="E178" i="55"/>
  <c r="E285" i="55"/>
  <c r="G262" i="55"/>
  <c r="E149" i="55"/>
  <c r="G208" i="55" s="1"/>
  <c r="F249" i="55"/>
  <c r="D136" i="55"/>
  <c r="F194" i="55" s="1"/>
  <c r="I228" i="53"/>
  <c r="I161" i="53"/>
  <c r="D282" i="55"/>
  <c r="D283" i="55"/>
  <c r="F58" i="55"/>
  <c r="F115" i="55" s="1"/>
  <c r="H225" i="53"/>
  <c r="H158" i="53"/>
  <c r="F56" i="55"/>
  <c r="F113" i="55" s="1"/>
  <c r="H200" i="53"/>
  <c r="H133" i="53"/>
  <c r="H226" i="53"/>
  <c r="H159" i="53"/>
  <c r="H239" i="53"/>
  <c r="H175" i="53"/>
  <c r="F253" i="53"/>
  <c r="H41" i="22"/>
  <c r="F187" i="53"/>
  <c r="F250" i="53"/>
  <c r="J221" i="53"/>
  <c r="J154" i="53"/>
  <c r="C10" i="55"/>
  <c r="C65" i="55"/>
  <c r="E200" i="55" s="1"/>
  <c r="G24" i="53"/>
  <c r="G77" i="53" s="1"/>
  <c r="F11" i="55"/>
  <c r="F15" i="55"/>
  <c r="F72" i="55" s="1"/>
  <c r="G167" i="53"/>
  <c r="G234" i="53"/>
  <c r="E51" i="55"/>
  <c r="E108" i="55" s="1"/>
  <c r="D131" i="55"/>
  <c r="F189" i="55" s="1"/>
  <c r="F244" i="55"/>
  <c r="E259" i="53"/>
  <c r="J229" i="53"/>
  <c r="J162" i="53"/>
  <c r="I16" i="53"/>
  <c r="I69" i="53" s="1"/>
  <c r="H16" i="53"/>
  <c r="H69" i="53" s="1"/>
  <c r="E24" i="55"/>
  <c r="E81" i="55" s="1"/>
  <c r="G43" i="53"/>
  <c r="G96" i="53" s="1"/>
  <c r="G21" i="53"/>
  <c r="G74" i="53" s="1"/>
  <c r="F14" i="55"/>
  <c r="F71" i="55" s="1"/>
  <c r="F39" i="55"/>
  <c r="F96" i="55" s="1"/>
  <c r="F16" i="55"/>
  <c r="F73" i="55" s="1"/>
  <c r="H203" i="53"/>
  <c r="H136" i="53"/>
  <c r="G207" i="53"/>
  <c r="G140" i="53"/>
  <c r="G216" i="53"/>
  <c r="G149" i="53"/>
  <c r="G260" i="55"/>
  <c r="E147" i="55"/>
  <c r="G206" i="55" s="1"/>
  <c r="I9" i="53"/>
  <c r="I62" i="53" s="1"/>
  <c r="H9" i="53"/>
  <c r="H62" i="53" s="1"/>
  <c r="G239" i="55"/>
  <c r="E126" i="55"/>
  <c r="G184" i="55" s="1"/>
  <c r="D101" i="55"/>
  <c r="D61" i="55"/>
  <c r="G146" i="53"/>
  <c r="G213" i="53"/>
  <c r="E49" i="55"/>
  <c r="E106" i="55" s="1"/>
  <c r="J227" i="53"/>
  <c r="J160" i="53"/>
  <c r="H198" i="53"/>
  <c r="H131" i="53"/>
  <c r="G206" i="53"/>
  <c r="G139" i="53"/>
  <c r="F118" i="53"/>
  <c r="G43" i="55"/>
  <c r="G100" i="55" s="1"/>
  <c r="H43" i="55"/>
  <c r="H100" i="55" s="1"/>
  <c r="F40" i="55"/>
  <c r="F97" i="55" s="1"/>
  <c r="E27" i="55"/>
  <c r="E84" i="55" s="1"/>
  <c r="G52" i="53"/>
  <c r="G105" i="53" s="1"/>
  <c r="H173" i="53" s="1"/>
  <c r="J228" i="53"/>
  <c r="J161" i="53"/>
  <c r="D33" i="55"/>
  <c r="H199" i="53"/>
  <c r="H132" i="53"/>
  <c r="G235" i="55"/>
  <c r="E122" i="55"/>
  <c r="G180" i="55" s="1"/>
  <c r="M37" i="22"/>
  <c r="I37" i="53"/>
  <c r="I90" i="53" s="1"/>
  <c r="H37" i="53"/>
  <c r="H90" i="53" s="1"/>
  <c r="G275" i="55"/>
  <c r="E165" i="55"/>
  <c r="G224" i="55" s="1"/>
  <c r="I12" i="53"/>
  <c r="I65" i="53" s="1"/>
  <c r="H12" i="53"/>
  <c r="H65" i="53" s="1"/>
  <c r="H54" i="53"/>
  <c r="H107" i="53" s="1"/>
  <c r="I54" i="53"/>
  <c r="I107" i="53" s="1"/>
  <c r="G252" i="55"/>
  <c r="E139" i="55"/>
  <c r="G197" i="55" s="1"/>
  <c r="F251" i="53"/>
  <c r="F188" i="53"/>
  <c r="G233" i="53"/>
  <c r="G166" i="53"/>
  <c r="D229" i="55"/>
  <c r="I221" i="53"/>
  <c r="I154" i="53"/>
  <c r="F270" i="55"/>
  <c r="D157" i="55"/>
  <c r="F216" i="55" s="1"/>
  <c r="F253" i="55"/>
  <c r="D140" i="55"/>
  <c r="F198" i="55" s="1"/>
  <c r="G46" i="53"/>
  <c r="G99" i="53" s="1"/>
  <c r="N42" i="22"/>
  <c r="E22" i="55"/>
  <c r="E79" i="55" s="1"/>
  <c r="D274" i="53"/>
  <c r="D276" i="53" s="1"/>
  <c r="H264" i="55"/>
  <c r="F151" i="55"/>
  <c r="H210" i="55" s="1"/>
  <c r="G237" i="53"/>
  <c r="G170" i="53"/>
  <c r="G276" i="55"/>
  <c r="E166" i="55"/>
  <c r="G225" i="55" s="1"/>
  <c r="I55" i="53"/>
  <c r="I108" i="53" s="1"/>
  <c r="H55" i="53"/>
  <c r="H108" i="53" s="1"/>
  <c r="I34" i="53"/>
  <c r="I87" i="53" s="1"/>
  <c r="H34" i="53"/>
  <c r="H87" i="53" s="1"/>
  <c r="H224" i="53"/>
  <c r="H157" i="53"/>
  <c r="H263" i="55"/>
  <c r="F150" i="55"/>
  <c r="H209" i="55" s="1"/>
  <c r="E125" i="55"/>
  <c r="G183" i="55" s="1"/>
  <c r="G238" i="55"/>
  <c r="I15" i="53"/>
  <c r="I68" i="53" s="1"/>
  <c r="H15" i="53"/>
  <c r="H68" i="53" s="1"/>
  <c r="G19" i="53"/>
  <c r="G72" i="53" s="1"/>
  <c r="H242" i="53"/>
  <c r="H178" i="53"/>
  <c r="G28" i="53"/>
  <c r="G81" i="53" s="1"/>
  <c r="G257" i="55"/>
  <c r="E144" i="55"/>
  <c r="G203" i="55" s="1"/>
  <c r="G26" i="83"/>
  <c r="F38" i="55"/>
  <c r="F95" i="55" s="1"/>
  <c r="H197" i="53"/>
  <c r="H130" i="53"/>
  <c r="F17" i="55"/>
  <c r="F74" i="55" s="1"/>
  <c r="E44" i="55"/>
  <c r="G25" i="53"/>
  <c r="G78" i="53" s="1"/>
  <c r="F268" i="55"/>
  <c r="D155" i="55"/>
  <c r="F214" i="55" s="1"/>
  <c r="F246" i="53"/>
  <c r="F183" i="53"/>
  <c r="F92" i="55"/>
  <c r="G150" i="53"/>
  <c r="G217" i="53"/>
  <c r="I227" i="53"/>
  <c r="I160" i="53"/>
  <c r="I10" i="53"/>
  <c r="I63" i="53" s="1"/>
  <c r="H10" i="53"/>
  <c r="H63" i="53" s="1"/>
  <c r="G18" i="53"/>
  <c r="G71" i="53" s="1"/>
  <c r="F119" i="53"/>
  <c r="F115" i="53"/>
  <c r="G258" i="55"/>
  <c r="E145" i="55"/>
  <c r="G204" i="55" s="1"/>
  <c r="E121" i="55"/>
  <c r="G179" i="55" s="1"/>
  <c r="G234" i="55"/>
  <c r="H201" i="53"/>
  <c r="H134" i="53"/>
  <c r="D120" i="55"/>
  <c r="F233" i="55"/>
  <c r="I11" i="53"/>
  <c r="I64" i="53" s="1"/>
  <c r="H11" i="53"/>
  <c r="H64" i="53" s="1"/>
  <c r="F13" i="55"/>
  <c r="F70" i="55" s="1"/>
  <c r="G232" i="53"/>
  <c r="G165" i="53"/>
  <c r="F250" i="55"/>
  <c r="D137" i="55"/>
  <c r="F195" i="55" s="1"/>
  <c r="E128" i="55"/>
  <c r="G186" i="55" s="1"/>
  <c r="G241" i="55"/>
  <c r="G210" i="53"/>
  <c r="G143" i="53"/>
  <c r="F30" i="55"/>
  <c r="F87" i="55" s="1"/>
  <c r="G141" i="53"/>
  <c r="G208" i="53"/>
  <c r="G45" i="53"/>
  <c r="G98" i="53" s="1"/>
  <c r="D138" i="55"/>
  <c r="F196" i="55" s="1"/>
  <c r="F251" i="55"/>
  <c r="F267" i="55"/>
  <c r="D154" i="55"/>
  <c r="F213" i="55" s="1"/>
  <c r="E48" i="55"/>
  <c r="E105" i="55" s="1"/>
  <c r="E31" i="55"/>
  <c r="E88" i="55" s="1"/>
  <c r="F242" i="55"/>
  <c r="D129" i="55"/>
  <c r="F187" i="55" s="1"/>
  <c r="C36" i="29"/>
  <c r="H42" i="55"/>
  <c r="H99" i="55" s="1"/>
  <c r="G42" i="55"/>
  <c r="G99" i="55" s="1"/>
  <c r="G49" i="53"/>
  <c r="G102" i="53" s="1"/>
  <c r="F57" i="55"/>
  <c r="F114" i="55" s="1"/>
  <c r="H241" i="53"/>
  <c r="H177" i="53"/>
  <c r="N54" i="22"/>
  <c r="N55" i="22" s="1"/>
  <c r="H240" i="53"/>
  <c r="H176" i="53"/>
  <c r="H222" i="53"/>
  <c r="H155" i="53"/>
  <c r="H45" i="83"/>
  <c r="I36" i="53" s="1"/>
  <c r="I89" i="53" s="1"/>
  <c r="H36" i="53"/>
  <c r="H89" i="53" s="1"/>
  <c r="H41" i="55"/>
  <c r="H98" i="55" s="1"/>
  <c r="G41" i="55"/>
  <c r="G98" i="55" s="1"/>
  <c r="G278" i="55"/>
  <c r="E168" i="55"/>
  <c r="G227" i="55" s="1"/>
  <c r="G171" i="53"/>
  <c r="G238" i="53"/>
  <c r="I57" i="53"/>
  <c r="I110" i="53" s="1"/>
  <c r="H57" i="53"/>
  <c r="H110" i="53" s="1"/>
  <c r="G215" i="53"/>
  <c r="G148" i="53"/>
  <c r="G163" i="53"/>
  <c r="G230" i="53"/>
  <c r="F245" i="55"/>
  <c r="D132" i="55"/>
  <c r="F190" i="55" s="1"/>
  <c r="D134" i="55"/>
  <c r="F192" i="55" s="1"/>
  <c r="F247" i="55"/>
  <c r="F269" i="55"/>
  <c r="D156" i="55"/>
  <c r="F215" i="55" s="1"/>
  <c r="H202" i="53"/>
  <c r="H135" i="53"/>
  <c r="G236" i="53"/>
  <c r="G169" i="53"/>
  <c r="G53" i="53"/>
  <c r="G106" i="53" s="1"/>
  <c r="H174" i="53" s="1"/>
  <c r="F274" i="55"/>
  <c r="D161" i="55"/>
  <c r="F220" i="55" s="1"/>
  <c r="D135" i="55"/>
  <c r="F193" i="55" s="1"/>
  <c r="F248" i="55"/>
  <c r="F272" i="55"/>
  <c r="D159" i="55"/>
  <c r="F218" i="55" s="1"/>
  <c r="E46" i="55"/>
  <c r="E103" i="55" s="1"/>
  <c r="F247" i="53"/>
  <c r="F184" i="53"/>
  <c r="G35" i="55"/>
  <c r="H25" i="83"/>
  <c r="H35" i="55" s="1"/>
  <c r="G29" i="53"/>
  <c r="G82" i="53" s="1"/>
  <c r="L31" i="22"/>
  <c r="L58" i="22"/>
  <c r="C89" i="22" s="1"/>
  <c r="G211" i="53"/>
  <c r="G144" i="53"/>
  <c r="G168" i="53"/>
  <c r="G235" i="53"/>
  <c r="F116" i="53"/>
  <c r="F36" i="55"/>
  <c r="F93" i="55" s="1"/>
  <c r="F12" i="55"/>
  <c r="F69" i="55" s="1"/>
  <c r="I13" i="53"/>
  <c r="I66" i="53" s="1"/>
  <c r="H13" i="53"/>
  <c r="H66" i="53" s="1"/>
  <c r="G277" i="55"/>
  <c r="E167" i="55"/>
  <c r="G226" i="55" s="1"/>
  <c r="G44" i="53"/>
  <c r="G97" i="53" s="1"/>
  <c r="E28" i="55"/>
  <c r="E85" i="55" s="1"/>
  <c r="F19" i="55"/>
  <c r="F76" i="55" s="1"/>
  <c r="I38" i="53"/>
  <c r="I91" i="53" s="1"/>
  <c r="H38" i="53"/>
  <c r="H91" i="53" s="1"/>
  <c r="G22" i="53"/>
  <c r="G75" i="53" s="1"/>
  <c r="D11" i="23"/>
  <c r="F11" i="23" s="1"/>
  <c r="G20" i="53"/>
  <c r="G73" i="53" s="1"/>
  <c r="E29" i="55"/>
  <c r="E86" i="55" s="1"/>
  <c r="E45" i="55"/>
  <c r="E102" i="55" s="1"/>
  <c r="G145" i="53"/>
  <c r="G212" i="53"/>
  <c r="E68" i="55"/>
  <c r="E124" i="55"/>
  <c r="G182" i="55" s="1"/>
  <c r="G237" i="55"/>
  <c r="E20" i="55"/>
  <c r="E77" i="55" s="1"/>
  <c r="F273" i="55"/>
  <c r="D160" i="55"/>
  <c r="F219" i="55" s="1"/>
  <c r="I161" i="29" l="1"/>
  <c r="I146" i="29"/>
  <c r="I131" i="29"/>
  <c r="I176" i="29"/>
  <c r="E17" i="61"/>
  <c r="E57" i="22"/>
  <c r="D14" i="69" s="1"/>
  <c r="D16" i="69" s="1"/>
  <c r="E38" i="22"/>
  <c r="G37" i="22"/>
  <c r="F59" i="22"/>
  <c r="I25" i="68"/>
  <c r="E262" i="53"/>
  <c r="G254" i="53"/>
  <c r="H37" i="55"/>
  <c r="H94" i="55" s="1"/>
  <c r="G37" i="55"/>
  <c r="G94" i="55" s="1"/>
  <c r="H259" i="55"/>
  <c r="F146" i="55"/>
  <c r="H205" i="55" s="1"/>
  <c r="J156" i="53"/>
  <c r="J223" i="53"/>
  <c r="F191" i="53"/>
  <c r="I223" i="53"/>
  <c r="I156" i="53"/>
  <c r="H258" i="55"/>
  <c r="F145" i="55"/>
  <c r="H204" i="55" s="1"/>
  <c r="H92" i="55"/>
  <c r="G270" i="55"/>
  <c r="E157" i="55"/>
  <c r="G216" i="55" s="1"/>
  <c r="H206" i="53"/>
  <c r="H139" i="53"/>
  <c r="I28" i="53"/>
  <c r="I81" i="53" s="1"/>
  <c r="H28" i="53"/>
  <c r="H81" i="53" s="1"/>
  <c r="F22" i="55"/>
  <c r="F79" i="55" s="1"/>
  <c r="H40" i="55"/>
  <c r="H97" i="55" s="1"/>
  <c r="G40" i="55"/>
  <c r="G97" i="55" s="1"/>
  <c r="G271" i="55"/>
  <c r="E158" i="55"/>
  <c r="G217" i="55" s="1"/>
  <c r="E129" i="55"/>
  <c r="G187" i="55" s="1"/>
  <c r="G242" i="55"/>
  <c r="F29" i="55"/>
  <c r="F86" i="55" s="1"/>
  <c r="I263" i="55"/>
  <c r="G150" i="55"/>
  <c r="I209" i="55" s="1"/>
  <c r="H260" i="55"/>
  <c r="F147" i="55"/>
  <c r="H206" i="55" s="1"/>
  <c r="I19" i="53"/>
  <c r="I72" i="53" s="1"/>
  <c r="H19" i="53"/>
  <c r="H72" i="53" s="1"/>
  <c r="E136" i="55"/>
  <c r="G194" i="55" s="1"/>
  <c r="G249" i="55"/>
  <c r="E133" i="55"/>
  <c r="G191" i="55" s="1"/>
  <c r="G246" i="55"/>
  <c r="F26" i="55"/>
  <c r="F83" i="55" s="1"/>
  <c r="I42" i="53"/>
  <c r="I95" i="53" s="1"/>
  <c r="H42" i="53"/>
  <c r="H95" i="53" s="1"/>
  <c r="J241" i="53"/>
  <c r="J177" i="53"/>
  <c r="G267" i="55"/>
  <c r="E154" i="55"/>
  <c r="G213" i="55" s="1"/>
  <c r="H208" i="53"/>
  <c r="H141" i="53"/>
  <c r="H210" i="53"/>
  <c r="H143" i="53"/>
  <c r="I226" i="53"/>
  <c r="I159" i="53"/>
  <c r="F128" i="55"/>
  <c r="H186" i="55" s="1"/>
  <c r="H241" i="55"/>
  <c r="I44" i="53"/>
  <c r="I97" i="53" s="1"/>
  <c r="H44" i="53"/>
  <c r="H97" i="53" s="1"/>
  <c r="H36" i="55"/>
  <c r="H93" i="55" s="1"/>
  <c r="G36" i="55"/>
  <c r="G93" i="55" s="1"/>
  <c r="L59" i="22"/>
  <c r="G92" i="55"/>
  <c r="F46" i="55"/>
  <c r="F103" i="55" s="1"/>
  <c r="J263" i="55"/>
  <c r="H150" i="55"/>
  <c r="I49" i="53"/>
  <c r="I102" i="53" s="1"/>
  <c r="H49" i="53"/>
  <c r="H102" i="53" s="1"/>
  <c r="F31" i="55"/>
  <c r="F88" i="55" s="1"/>
  <c r="F48" i="55"/>
  <c r="F105" i="55" s="1"/>
  <c r="H235" i="55"/>
  <c r="F122" i="55"/>
  <c r="H180" i="55" s="1"/>
  <c r="I18" i="53"/>
  <c r="I71" i="53" s="1"/>
  <c r="H18" i="53"/>
  <c r="H71" i="53" s="1"/>
  <c r="E101" i="55"/>
  <c r="E61" i="55"/>
  <c r="H26" i="83"/>
  <c r="H38" i="55" s="1"/>
  <c r="H95" i="55" s="1"/>
  <c r="G38" i="55"/>
  <c r="G95" i="55" s="1"/>
  <c r="I203" i="53"/>
  <c r="I136" i="53"/>
  <c r="I222" i="53"/>
  <c r="I155" i="53"/>
  <c r="I240" i="53"/>
  <c r="I176" i="53"/>
  <c r="N43" i="22"/>
  <c r="F27" i="55"/>
  <c r="F84" i="55" s="1"/>
  <c r="F49" i="55"/>
  <c r="F106" i="55" s="1"/>
  <c r="F266" i="55"/>
  <c r="D153" i="55"/>
  <c r="F212" i="55" s="1"/>
  <c r="H261" i="55"/>
  <c r="F148" i="55"/>
  <c r="H207" i="55" s="1"/>
  <c r="H209" i="53"/>
  <c r="H142" i="53"/>
  <c r="H231" i="53"/>
  <c r="H164" i="53"/>
  <c r="J204" i="53"/>
  <c r="J137" i="53"/>
  <c r="F51" i="55"/>
  <c r="F108" i="55" s="1"/>
  <c r="I24" i="53"/>
  <c r="I77" i="53" s="1"/>
  <c r="H24" i="53"/>
  <c r="H77" i="53" s="1"/>
  <c r="E282" i="55"/>
  <c r="E283" i="55"/>
  <c r="H211" i="53"/>
  <c r="H144" i="53"/>
  <c r="G272" i="55"/>
  <c r="E159" i="55"/>
  <c r="G218" i="55" s="1"/>
  <c r="G274" i="55"/>
  <c r="E161" i="55"/>
  <c r="G220" i="55" s="1"/>
  <c r="I202" i="53"/>
  <c r="I135" i="53"/>
  <c r="G269" i="55"/>
  <c r="E156" i="55"/>
  <c r="G215" i="55" s="1"/>
  <c r="E132" i="55"/>
  <c r="G190" i="55" s="1"/>
  <c r="G245" i="55"/>
  <c r="H215" i="53"/>
  <c r="H148" i="53"/>
  <c r="H238" i="53"/>
  <c r="H171" i="53"/>
  <c r="H278" i="55"/>
  <c r="F168" i="55"/>
  <c r="H227" i="55" s="1"/>
  <c r="G243" i="55"/>
  <c r="E130" i="55"/>
  <c r="G188" i="55" s="1"/>
  <c r="G268" i="55"/>
  <c r="E155" i="55"/>
  <c r="G214" i="55" s="1"/>
  <c r="H237" i="53"/>
  <c r="H170" i="53"/>
  <c r="E140" i="55"/>
  <c r="G198" i="55" s="1"/>
  <c r="G253" i="55"/>
  <c r="J199" i="53"/>
  <c r="J132" i="53"/>
  <c r="H257" i="55"/>
  <c r="F144" i="55"/>
  <c r="H203" i="55" s="1"/>
  <c r="G114" i="53"/>
  <c r="G250" i="53"/>
  <c r="G187" i="53"/>
  <c r="H16" i="55"/>
  <c r="H73" i="55" s="1"/>
  <c r="G16" i="55"/>
  <c r="G73" i="55" s="1"/>
  <c r="H212" i="53"/>
  <c r="H145" i="53"/>
  <c r="H56" i="55"/>
  <c r="H113" i="55" s="1"/>
  <c r="G56" i="55"/>
  <c r="G113" i="55" s="1"/>
  <c r="H47" i="53"/>
  <c r="H100" i="53" s="1"/>
  <c r="I47" i="53"/>
  <c r="I100" i="53" s="1"/>
  <c r="H236" i="53"/>
  <c r="H169" i="53"/>
  <c r="F25" i="55"/>
  <c r="F82" i="55" s="1"/>
  <c r="H51" i="53"/>
  <c r="H104" i="53" s="1"/>
  <c r="I172" i="53" s="1"/>
  <c r="I51" i="53"/>
  <c r="I104" i="53" s="1"/>
  <c r="H18" i="55"/>
  <c r="H75" i="55" s="1"/>
  <c r="G18" i="55"/>
  <c r="G75" i="55" s="1"/>
  <c r="M30" i="22"/>
  <c r="M58" i="22" s="1"/>
  <c r="D89" i="22" s="1"/>
  <c r="M57" i="22"/>
  <c r="F45" i="55"/>
  <c r="F102" i="55" s="1"/>
  <c r="J226" i="53"/>
  <c r="J159" i="53"/>
  <c r="H232" i="53"/>
  <c r="H165" i="53"/>
  <c r="I201" i="53"/>
  <c r="I134" i="53"/>
  <c r="F121" i="55"/>
  <c r="H179" i="55" s="1"/>
  <c r="H234" i="55"/>
  <c r="H217" i="53"/>
  <c r="H150" i="53"/>
  <c r="I242" i="53"/>
  <c r="I178" i="53"/>
  <c r="I224" i="53"/>
  <c r="I157" i="53"/>
  <c r="H276" i="55"/>
  <c r="F166" i="55"/>
  <c r="H225" i="55" s="1"/>
  <c r="I264" i="55"/>
  <c r="G151" i="55"/>
  <c r="I210" i="55" s="1"/>
  <c r="H233" i="53"/>
  <c r="H166" i="53"/>
  <c r="H252" i="55"/>
  <c r="F139" i="55"/>
  <c r="H197" i="55" s="1"/>
  <c r="H13" i="55"/>
  <c r="H70" i="55" s="1"/>
  <c r="G13" i="55"/>
  <c r="G70" i="55" s="1"/>
  <c r="F284" i="55"/>
  <c r="F285" i="55"/>
  <c r="F178" i="55"/>
  <c r="G246" i="53"/>
  <c r="G183" i="53"/>
  <c r="I198" i="53"/>
  <c r="I131" i="53"/>
  <c r="F44" i="55"/>
  <c r="F101" i="55" s="1"/>
  <c r="G119" i="53"/>
  <c r="G118" i="53"/>
  <c r="J203" i="53"/>
  <c r="J136" i="53"/>
  <c r="J222" i="53"/>
  <c r="J155" i="53"/>
  <c r="J240" i="53"/>
  <c r="J176" i="53"/>
  <c r="H234" i="53"/>
  <c r="H167" i="53"/>
  <c r="J239" i="53"/>
  <c r="J175" i="53"/>
  <c r="I200" i="53"/>
  <c r="I133" i="53"/>
  <c r="I225" i="53"/>
  <c r="I158" i="53"/>
  <c r="J265" i="55"/>
  <c r="H152" i="55"/>
  <c r="I197" i="53"/>
  <c r="I130" i="53"/>
  <c r="H39" i="55"/>
  <c r="H96" i="55" s="1"/>
  <c r="G39" i="55"/>
  <c r="G96" i="55" s="1"/>
  <c r="I21" i="53"/>
  <c r="I74" i="53" s="1"/>
  <c r="H21" i="53"/>
  <c r="H74" i="53" s="1"/>
  <c r="H43" i="53"/>
  <c r="H96" i="53" s="1"/>
  <c r="I43" i="53"/>
  <c r="I96" i="53" s="1"/>
  <c r="H15" i="55"/>
  <c r="H72" i="55" s="1"/>
  <c r="G15" i="55"/>
  <c r="G72" i="55" s="1"/>
  <c r="H11" i="55"/>
  <c r="G11" i="55"/>
  <c r="H277" i="55"/>
  <c r="F167" i="55"/>
  <c r="H226" i="55" s="1"/>
  <c r="E229" i="55"/>
  <c r="G182" i="53"/>
  <c r="G245" i="53"/>
  <c r="I23" i="53"/>
  <c r="I76" i="53" s="1"/>
  <c r="H23" i="53"/>
  <c r="H76" i="53" s="1"/>
  <c r="F50" i="55"/>
  <c r="F107" i="55" s="1"/>
  <c r="F52" i="55"/>
  <c r="F109" i="55" s="1"/>
  <c r="J202" i="53"/>
  <c r="J135" i="53"/>
  <c r="F47" i="55"/>
  <c r="F104" i="55" s="1"/>
  <c r="F23" i="55"/>
  <c r="F80" i="55" s="1"/>
  <c r="I27" i="53"/>
  <c r="I80" i="53" s="1"/>
  <c r="H27" i="53"/>
  <c r="H80" i="53" s="1"/>
  <c r="I50" i="53"/>
  <c r="I103" i="53" s="1"/>
  <c r="H50" i="53"/>
  <c r="H103" i="53" s="1"/>
  <c r="H59" i="55"/>
  <c r="H116" i="55" s="1"/>
  <c r="G59" i="55"/>
  <c r="G116" i="55" s="1"/>
  <c r="F21" i="55"/>
  <c r="F78" i="55" s="1"/>
  <c r="N36" i="22"/>
  <c r="G253" i="53"/>
  <c r="F259" i="53"/>
  <c r="E33" i="55"/>
  <c r="F28" i="55"/>
  <c r="F85" i="55" s="1"/>
  <c r="I25" i="53"/>
  <c r="I78" i="53" s="1"/>
  <c r="H25" i="53"/>
  <c r="H78" i="53" s="1"/>
  <c r="H17" i="55"/>
  <c r="H74" i="55" s="1"/>
  <c r="G17" i="55"/>
  <c r="G74" i="55" s="1"/>
  <c r="H14" i="55"/>
  <c r="H71" i="55" s="1"/>
  <c r="G14" i="55"/>
  <c r="G71" i="55" s="1"/>
  <c r="I204" i="53"/>
  <c r="I137" i="53"/>
  <c r="G273" i="55"/>
  <c r="E160" i="55"/>
  <c r="G219" i="55" s="1"/>
  <c r="E37" i="61"/>
  <c r="B9" i="21"/>
  <c r="I20" i="53"/>
  <c r="I73" i="53" s="1"/>
  <c r="H20" i="53"/>
  <c r="H73" i="53" s="1"/>
  <c r="I22" i="53"/>
  <c r="I75" i="53" s="1"/>
  <c r="H22" i="53"/>
  <c r="H75" i="53" s="1"/>
  <c r="H19" i="55"/>
  <c r="H76" i="55" s="1"/>
  <c r="G19" i="55"/>
  <c r="G76" i="55" s="1"/>
  <c r="F20" i="55"/>
  <c r="F77" i="55" s="1"/>
  <c r="E120" i="55"/>
  <c r="G233" i="55"/>
  <c r="G251" i="55"/>
  <c r="E138" i="55"/>
  <c r="G196" i="55" s="1"/>
  <c r="E11" i="23"/>
  <c r="G11" i="23" s="1"/>
  <c r="E137" i="55"/>
  <c r="G195" i="55" s="1"/>
  <c r="G250" i="55"/>
  <c r="J201" i="53"/>
  <c r="J134" i="53"/>
  <c r="H12" i="55"/>
  <c r="H69" i="55" s="1"/>
  <c r="G12" i="55"/>
  <c r="G69" i="55" s="1"/>
  <c r="G184" i="53"/>
  <c r="G247" i="53"/>
  <c r="I29" i="53"/>
  <c r="I82" i="53" s="1"/>
  <c r="H29" i="53"/>
  <c r="H82" i="53" s="1"/>
  <c r="H53" i="53"/>
  <c r="H106" i="53" s="1"/>
  <c r="I174" i="53" s="1"/>
  <c r="I53" i="53"/>
  <c r="I106" i="53" s="1"/>
  <c r="J242" i="53"/>
  <c r="J178" i="53"/>
  <c r="J224" i="53"/>
  <c r="J157" i="53"/>
  <c r="N56" i="22"/>
  <c r="O53" i="22" s="1"/>
  <c r="H57" i="55"/>
  <c r="H114" i="55" s="1"/>
  <c r="G57" i="55"/>
  <c r="G114" i="55" s="1"/>
  <c r="J264" i="55"/>
  <c r="H151" i="55"/>
  <c r="I45" i="53"/>
  <c r="I98" i="53" s="1"/>
  <c r="H45" i="53"/>
  <c r="H98" i="53" s="1"/>
  <c r="H30" i="55"/>
  <c r="H87" i="55" s="1"/>
  <c r="G30" i="55"/>
  <c r="G87" i="55" s="1"/>
  <c r="I199" i="53"/>
  <c r="I132" i="53"/>
  <c r="G188" i="53"/>
  <c r="G251" i="53"/>
  <c r="J198" i="53"/>
  <c r="J131" i="53"/>
  <c r="H213" i="53"/>
  <c r="H146" i="53"/>
  <c r="H239" i="55"/>
  <c r="F126" i="55"/>
  <c r="H184" i="55" s="1"/>
  <c r="G116" i="53"/>
  <c r="G115" i="53"/>
  <c r="H216" i="53"/>
  <c r="H149" i="53"/>
  <c r="H207" i="53"/>
  <c r="H140" i="53"/>
  <c r="G244" i="55"/>
  <c r="E131" i="55"/>
  <c r="G189" i="55" s="1"/>
  <c r="N44" i="22"/>
  <c r="I46" i="53"/>
  <c r="I99" i="53" s="1"/>
  <c r="H46" i="53"/>
  <c r="H99" i="53" s="1"/>
  <c r="I239" i="53"/>
  <c r="I175" i="53"/>
  <c r="J200" i="53"/>
  <c r="J133" i="53"/>
  <c r="J225" i="53"/>
  <c r="J158" i="53"/>
  <c r="D10" i="55"/>
  <c r="D65" i="55"/>
  <c r="F200" i="55" s="1"/>
  <c r="I52" i="53"/>
  <c r="I105" i="53" s="1"/>
  <c r="H52" i="53"/>
  <c r="H105" i="53" s="1"/>
  <c r="I173" i="53" s="1"/>
  <c r="H262" i="55"/>
  <c r="F149" i="55"/>
  <c r="H208" i="55" s="1"/>
  <c r="I265" i="55"/>
  <c r="G152" i="55"/>
  <c r="I211" i="55" s="1"/>
  <c r="J197" i="53"/>
  <c r="J130" i="53"/>
  <c r="F125" i="55"/>
  <c r="H183" i="55" s="1"/>
  <c r="H238" i="55"/>
  <c r="H236" i="55"/>
  <c r="F123" i="55"/>
  <c r="H181" i="55" s="1"/>
  <c r="F24" i="55"/>
  <c r="F81" i="55" s="1"/>
  <c r="F124" i="55"/>
  <c r="H182" i="55" s="1"/>
  <c r="H237" i="55"/>
  <c r="F68" i="55"/>
  <c r="H44" i="22"/>
  <c r="H275" i="55"/>
  <c r="F165" i="55"/>
  <c r="H224" i="55" s="1"/>
  <c r="H58" i="55"/>
  <c r="H115" i="55" s="1"/>
  <c r="G58" i="55"/>
  <c r="G115" i="55" s="1"/>
  <c r="H235" i="53"/>
  <c r="H168" i="53"/>
  <c r="G248" i="55"/>
  <c r="E135" i="55"/>
  <c r="G193" i="55" s="1"/>
  <c r="I48" i="53"/>
  <c r="I101" i="53" s="1"/>
  <c r="H48" i="53"/>
  <c r="H101" i="53" s="1"/>
  <c r="G247" i="55"/>
  <c r="E134" i="55"/>
  <c r="G192" i="55" s="1"/>
  <c r="H230" i="53"/>
  <c r="H163" i="53"/>
  <c r="I241" i="53"/>
  <c r="I177" i="53"/>
  <c r="H240" i="55"/>
  <c r="F127" i="55"/>
  <c r="H185" i="55" s="1"/>
  <c r="C123" i="29" l="1"/>
  <c r="C138" i="29"/>
  <c r="C168" i="29"/>
  <c r="C153" i="29"/>
  <c r="D36" i="29"/>
  <c r="F8" i="61"/>
  <c r="G59" i="22"/>
  <c r="H37" i="22"/>
  <c r="F35" i="22"/>
  <c r="E60" i="22"/>
  <c r="F17" i="61"/>
  <c r="M31" i="22"/>
  <c r="M59" i="22" s="1"/>
  <c r="J209" i="55"/>
  <c r="E274" i="53"/>
  <c r="E276" i="53" s="1"/>
  <c r="J172" i="53"/>
  <c r="F260" i="53"/>
  <c r="F262" i="53" s="1"/>
  <c r="G146" i="55"/>
  <c r="I205" i="55" s="1"/>
  <c r="I259" i="55"/>
  <c r="G260" i="53"/>
  <c r="H146" i="55"/>
  <c r="J259" i="55"/>
  <c r="F61" i="55"/>
  <c r="G191" i="53"/>
  <c r="J233" i="53"/>
  <c r="J166" i="53"/>
  <c r="I208" i="53"/>
  <c r="I141" i="53"/>
  <c r="J231" i="53"/>
  <c r="J164" i="53"/>
  <c r="H116" i="53"/>
  <c r="H115" i="53"/>
  <c r="H251" i="53"/>
  <c r="H188" i="53"/>
  <c r="J275" i="55"/>
  <c r="H165" i="55"/>
  <c r="J206" i="53"/>
  <c r="J139" i="53"/>
  <c r="H46" i="55"/>
  <c r="H103" i="55" s="1"/>
  <c r="G46" i="55"/>
  <c r="G103" i="55" s="1"/>
  <c r="J230" i="53"/>
  <c r="J163" i="53"/>
  <c r="I262" i="55"/>
  <c r="G149" i="55"/>
  <c r="I208" i="55" s="1"/>
  <c r="J216" i="53"/>
  <c r="J149" i="53"/>
  <c r="F133" i="55"/>
  <c r="H191" i="55" s="1"/>
  <c r="H246" i="55"/>
  <c r="I115" i="53"/>
  <c r="F282" i="55"/>
  <c r="F283" i="55"/>
  <c r="O41" i="22"/>
  <c r="H246" i="53"/>
  <c r="H183" i="53"/>
  <c r="F37" i="61"/>
  <c r="C9" i="21"/>
  <c r="I252" i="55"/>
  <c r="G139" i="55"/>
  <c r="I197" i="55" s="1"/>
  <c r="J276" i="55"/>
  <c r="H166" i="55"/>
  <c r="I217" i="53"/>
  <c r="I150" i="53"/>
  <c r="G121" i="55"/>
  <c r="I179" i="55" s="1"/>
  <c r="I234" i="55"/>
  <c r="C12" i="23"/>
  <c r="G284" i="55"/>
  <c r="G285" i="55"/>
  <c r="G178" i="55"/>
  <c r="J241" i="55"/>
  <c r="H128" i="55"/>
  <c r="J208" i="53"/>
  <c r="J141" i="53"/>
  <c r="C33" i="29"/>
  <c r="I239" i="55"/>
  <c r="G126" i="55"/>
  <c r="I184" i="55" s="1"/>
  <c r="F137" i="55"/>
  <c r="H195" i="55" s="1"/>
  <c r="H250" i="55"/>
  <c r="N38" i="22"/>
  <c r="O35" i="22" s="1"/>
  <c r="J278" i="55"/>
  <c r="H168" i="55"/>
  <c r="I215" i="53"/>
  <c r="I148" i="53"/>
  <c r="H269" i="55"/>
  <c r="F156" i="55"/>
  <c r="H215" i="55" s="1"/>
  <c r="H274" i="55"/>
  <c r="F161" i="55"/>
  <c r="H220" i="55" s="1"/>
  <c r="I211" i="53"/>
  <c r="I144" i="53"/>
  <c r="H68" i="55"/>
  <c r="I231" i="53"/>
  <c r="I164" i="53"/>
  <c r="J261" i="55"/>
  <c r="H148" i="55"/>
  <c r="H114" i="53"/>
  <c r="H254" i="53"/>
  <c r="H266" i="55"/>
  <c r="F153" i="55"/>
  <c r="I235" i="55"/>
  <c r="G122" i="55"/>
  <c r="I180" i="55" s="1"/>
  <c r="G125" i="55"/>
  <c r="I183" i="55" s="1"/>
  <c r="I238" i="55"/>
  <c r="H245" i="53"/>
  <c r="H182" i="53"/>
  <c r="D290" i="55"/>
  <c r="D292" i="55" s="1"/>
  <c r="J212" i="53"/>
  <c r="J145" i="53"/>
  <c r="H49" i="55"/>
  <c r="H106" i="55" s="1"/>
  <c r="G49" i="55"/>
  <c r="G106" i="55" s="1"/>
  <c r="H48" i="55"/>
  <c r="H105" i="55" s="1"/>
  <c r="G48" i="55"/>
  <c r="G105" i="55" s="1"/>
  <c r="I237" i="53"/>
  <c r="I170" i="53"/>
  <c r="I258" i="55"/>
  <c r="G145" i="55"/>
  <c r="I204" i="55" s="1"/>
  <c r="H248" i="55"/>
  <c r="F135" i="55"/>
  <c r="H193" i="55" s="1"/>
  <c r="H253" i="53"/>
  <c r="J262" i="55"/>
  <c r="H149" i="55"/>
  <c r="H244" i="55"/>
  <c r="F131" i="55"/>
  <c r="H189" i="55" s="1"/>
  <c r="G259" i="53"/>
  <c r="J236" i="53"/>
  <c r="J169" i="53"/>
  <c r="I114" i="53"/>
  <c r="J234" i="53"/>
  <c r="J167" i="53"/>
  <c r="O54" i="22"/>
  <c r="O55" i="22" s="1"/>
  <c r="H123" i="55"/>
  <c r="J236" i="55"/>
  <c r="H23" i="55"/>
  <c r="H80" i="55" s="1"/>
  <c r="G23" i="55"/>
  <c r="G80" i="55" s="1"/>
  <c r="I261" i="55"/>
  <c r="G148" i="55"/>
  <c r="I207" i="55" s="1"/>
  <c r="H25" i="55"/>
  <c r="H82" i="55" s="1"/>
  <c r="G25" i="55"/>
  <c r="G82" i="55" s="1"/>
  <c r="N37" i="22"/>
  <c r="I212" i="53"/>
  <c r="I145" i="53"/>
  <c r="H271" i="55"/>
  <c r="F158" i="55"/>
  <c r="H217" i="55" s="1"/>
  <c r="J260" i="55"/>
  <c r="H147" i="55"/>
  <c r="F120" i="55"/>
  <c r="H233" i="55"/>
  <c r="I277" i="55"/>
  <c r="G167" i="55"/>
  <c r="I226" i="55" s="1"/>
  <c r="I41" i="22"/>
  <c r="F33" i="55"/>
  <c r="H24" i="55"/>
  <c r="H81" i="55" s="1"/>
  <c r="G24" i="55"/>
  <c r="G81" i="55" s="1"/>
  <c r="I119" i="53"/>
  <c r="H247" i="53"/>
  <c r="H184" i="53"/>
  <c r="H139" i="55"/>
  <c r="J197" i="55" s="1"/>
  <c r="J252" i="55"/>
  <c r="J210" i="55"/>
  <c r="J217" i="53"/>
  <c r="J150" i="53"/>
  <c r="J234" i="55"/>
  <c r="H121" i="55"/>
  <c r="F129" i="55"/>
  <c r="H187" i="55" s="1"/>
  <c r="H242" i="55"/>
  <c r="I210" i="53"/>
  <c r="I143" i="53"/>
  <c r="H126" i="55"/>
  <c r="J184" i="55" s="1"/>
  <c r="J239" i="55"/>
  <c r="H28" i="55"/>
  <c r="H85" i="55" s="1"/>
  <c r="G28" i="55"/>
  <c r="G85" i="55" s="1"/>
  <c r="H243" i="55"/>
  <c r="F130" i="55"/>
  <c r="H188" i="55" s="1"/>
  <c r="I238" i="53"/>
  <c r="I171" i="53"/>
  <c r="J215" i="53"/>
  <c r="J148" i="53"/>
  <c r="G47" i="55"/>
  <c r="G104" i="55" s="1"/>
  <c r="H47" i="55"/>
  <c r="H104" i="55" s="1"/>
  <c r="H52" i="55"/>
  <c r="H109" i="55" s="1"/>
  <c r="G52" i="55"/>
  <c r="G109" i="55" s="1"/>
  <c r="J211" i="53"/>
  <c r="J144" i="53"/>
  <c r="G124" i="55"/>
  <c r="I182" i="55" s="1"/>
  <c r="I237" i="55"/>
  <c r="I209" i="53"/>
  <c r="I142" i="53"/>
  <c r="J211" i="55"/>
  <c r="H44" i="55"/>
  <c r="H101" i="55" s="1"/>
  <c r="G44" i="55"/>
  <c r="G101" i="55" s="1"/>
  <c r="F229" i="55"/>
  <c r="H122" i="55"/>
  <c r="J235" i="55"/>
  <c r="H267" i="55"/>
  <c r="F154" i="55"/>
  <c r="H213" i="55" s="1"/>
  <c r="M32" i="22"/>
  <c r="J238" i="55"/>
  <c r="H125" i="55"/>
  <c r="H273" i="55"/>
  <c r="F160" i="55"/>
  <c r="H219" i="55" s="1"/>
  <c r="H27" i="55"/>
  <c r="H84" i="55" s="1"/>
  <c r="G27" i="55"/>
  <c r="G84" i="55" s="1"/>
  <c r="G266" i="55"/>
  <c r="E153" i="55"/>
  <c r="G212" i="55" s="1"/>
  <c r="H31" i="55"/>
  <c r="H88" i="55" s="1"/>
  <c r="G31" i="55"/>
  <c r="G88" i="55" s="1"/>
  <c r="J237" i="53"/>
  <c r="J170" i="53"/>
  <c r="I257" i="55"/>
  <c r="G144" i="55"/>
  <c r="I203" i="55" s="1"/>
  <c r="J258" i="55"/>
  <c r="H145" i="55"/>
  <c r="H26" i="55"/>
  <c r="H83" i="55" s="1"/>
  <c r="G26" i="55"/>
  <c r="G83" i="55" s="1"/>
  <c r="I207" i="53"/>
  <c r="I140" i="53"/>
  <c r="H251" i="55"/>
  <c r="F138" i="55"/>
  <c r="H196" i="55" s="1"/>
  <c r="G22" i="55"/>
  <c r="G79" i="55" s="1"/>
  <c r="H22" i="55"/>
  <c r="H79" i="55" s="1"/>
  <c r="E50" i="61"/>
  <c r="B23" i="21"/>
  <c r="I118" i="53"/>
  <c r="I276" i="55"/>
  <c r="G166" i="55"/>
  <c r="I225" i="55" s="1"/>
  <c r="G128" i="55"/>
  <c r="I186" i="55" s="1"/>
  <c r="I241" i="55"/>
  <c r="J213" i="53"/>
  <c r="J146" i="53"/>
  <c r="I278" i="55"/>
  <c r="G168" i="55"/>
  <c r="I227" i="55" s="1"/>
  <c r="H50" i="55"/>
  <c r="H107" i="55" s="1"/>
  <c r="G50" i="55"/>
  <c r="G107" i="55" s="1"/>
  <c r="G68" i="55"/>
  <c r="H127" i="55"/>
  <c r="J240" i="55"/>
  <c r="I235" i="53"/>
  <c r="I168" i="53"/>
  <c r="H270" i="55"/>
  <c r="F157" i="55"/>
  <c r="H216" i="55" s="1"/>
  <c r="J232" i="53"/>
  <c r="J165" i="53"/>
  <c r="I236" i="53"/>
  <c r="I169" i="53"/>
  <c r="J277" i="55"/>
  <c r="H167" i="55"/>
  <c r="I116" i="53"/>
  <c r="J173" i="53"/>
  <c r="C32" i="29"/>
  <c r="I234" i="53"/>
  <c r="I167" i="53"/>
  <c r="I233" i="53"/>
  <c r="I166" i="53"/>
  <c r="J174" i="53"/>
  <c r="H20" i="55"/>
  <c r="H77" i="55" s="1"/>
  <c r="G20" i="55"/>
  <c r="G77" i="55" s="1"/>
  <c r="J210" i="53"/>
  <c r="J143" i="53"/>
  <c r="I236" i="55"/>
  <c r="G123" i="55"/>
  <c r="I181" i="55" s="1"/>
  <c r="I213" i="53"/>
  <c r="I146" i="53"/>
  <c r="E10" i="55"/>
  <c r="E65" i="55"/>
  <c r="G200" i="55" s="1"/>
  <c r="H21" i="55"/>
  <c r="H78" i="55" s="1"/>
  <c r="G21" i="55"/>
  <c r="G78" i="55" s="1"/>
  <c r="J238" i="53"/>
  <c r="J171" i="53"/>
  <c r="F132" i="55"/>
  <c r="H190" i="55" s="1"/>
  <c r="H245" i="55"/>
  <c r="H272" i="55"/>
  <c r="F159" i="55"/>
  <c r="H218" i="55" s="1"/>
  <c r="J237" i="55"/>
  <c r="H124" i="55"/>
  <c r="J182" i="55" s="1"/>
  <c r="J209" i="53"/>
  <c r="J142" i="53"/>
  <c r="H119" i="53"/>
  <c r="H118" i="53"/>
  <c r="H250" i="53"/>
  <c r="H187" i="53"/>
  <c r="H45" i="55"/>
  <c r="H102" i="55" s="1"/>
  <c r="G45" i="55"/>
  <c r="G102" i="55" s="1"/>
  <c r="I240" i="55"/>
  <c r="G127" i="55"/>
  <c r="I185" i="55" s="1"/>
  <c r="H247" i="55"/>
  <c r="F134" i="55"/>
  <c r="H192" i="55" s="1"/>
  <c r="J235" i="53"/>
  <c r="J168" i="53"/>
  <c r="I275" i="55"/>
  <c r="G165" i="55"/>
  <c r="I224" i="55" s="1"/>
  <c r="E290" i="55"/>
  <c r="G51" i="55"/>
  <c r="G108" i="55" s="1"/>
  <c r="H51" i="55"/>
  <c r="H108" i="55" s="1"/>
  <c r="F136" i="55"/>
  <c r="H194" i="55" s="1"/>
  <c r="H249" i="55"/>
  <c r="I260" i="55"/>
  <c r="G147" i="55"/>
  <c r="I206" i="55" s="1"/>
  <c r="I206" i="53"/>
  <c r="I139" i="53"/>
  <c r="F140" i="55"/>
  <c r="H198" i="55" s="1"/>
  <c r="H253" i="55"/>
  <c r="H268" i="55"/>
  <c r="F155" i="55"/>
  <c r="H214" i="55" s="1"/>
  <c r="I232" i="53"/>
  <c r="I165" i="53"/>
  <c r="I230" i="53"/>
  <c r="I163" i="53"/>
  <c r="J207" i="53"/>
  <c r="J140" i="53"/>
  <c r="H29" i="55"/>
  <c r="H86" i="55" s="1"/>
  <c r="G29" i="55"/>
  <c r="G86" i="55" s="1"/>
  <c r="I216" i="53"/>
  <c r="I149" i="53"/>
  <c r="J257" i="55"/>
  <c r="H144" i="55"/>
  <c r="D153" i="29" l="1"/>
  <c r="D123" i="29"/>
  <c r="D138" i="29"/>
  <c r="D168" i="29"/>
  <c r="G8" i="61"/>
  <c r="F57" i="22"/>
  <c r="E14" i="69" s="1"/>
  <c r="E16" i="69" s="1"/>
  <c r="F38" i="22"/>
  <c r="I37" i="22"/>
  <c r="I59" i="22" s="1"/>
  <c r="H59" i="22"/>
  <c r="F50" i="61"/>
  <c r="E36" i="29"/>
  <c r="J203" i="55"/>
  <c r="F274" i="53"/>
  <c r="F276" i="53" s="1"/>
  <c r="J205" i="55"/>
  <c r="J226" i="55"/>
  <c r="J204" i="55"/>
  <c r="F36" i="29"/>
  <c r="H259" i="53"/>
  <c r="J253" i="53"/>
  <c r="H191" i="53"/>
  <c r="G37" i="61"/>
  <c r="D9" i="21"/>
  <c r="G129" i="55"/>
  <c r="I187" i="55" s="1"/>
  <c r="I242" i="55"/>
  <c r="H131" i="55"/>
  <c r="J244" i="55"/>
  <c r="I266" i="55"/>
  <c r="G153" i="55"/>
  <c r="I212" i="55" s="1"/>
  <c r="G137" i="55"/>
  <c r="I195" i="55" s="1"/>
  <c r="I250" i="55"/>
  <c r="G133" i="55"/>
  <c r="I191" i="55" s="1"/>
  <c r="I246" i="55"/>
  <c r="I271" i="55"/>
  <c r="G158" i="55"/>
  <c r="I217" i="55" s="1"/>
  <c r="D32" i="29"/>
  <c r="D12" i="23"/>
  <c r="F12" i="23" s="1"/>
  <c r="D33" i="29"/>
  <c r="I268" i="55"/>
  <c r="G155" i="55"/>
  <c r="I214" i="55" s="1"/>
  <c r="I273" i="55"/>
  <c r="G160" i="55"/>
  <c r="I219" i="55" s="1"/>
  <c r="I250" i="53"/>
  <c r="I187" i="53"/>
  <c r="I243" i="55"/>
  <c r="G130" i="55"/>
  <c r="I188" i="55" s="1"/>
  <c r="J242" i="55"/>
  <c r="H129" i="55"/>
  <c r="J187" i="55" s="1"/>
  <c r="I272" i="55"/>
  <c r="G159" i="55"/>
  <c r="I218" i="55" s="1"/>
  <c r="I244" i="55"/>
  <c r="G131" i="55"/>
  <c r="I189" i="55" s="1"/>
  <c r="N29" i="22"/>
  <c r="M60" i="22"/>
  <c r="J266" i="55"/>
  <c r="H153" i="55"/>
  <c r="I269" i="55"/>
  <c r="G156" i="55"/>
  <c r="I215" i="55" s="1"/>
  <c r="J250" i="55"/>
  <c r="H137" i="55"/>
  <c r="J246" i="55"/>
  <c r="H133" i="55"/>
  <c r="J208" i="55"/>
  <c r="I270" i="55"/>
  <c r="G157" i="55"/>
  <c r="I216" i="55" s="1"/>
  <c r="J271" i="55"/>
  <c r="H158" i="55"/>
  <c r="E289" i="55"/>
  <c r="E292" i="55" s="1"/>
  <c r="H212" i="55"/>
  <c r="J207" i="55"/>
  <c r="H33" i="55"/>
  <c r="G229" i="55"/>
  <c r="J268" i="55"/>
  <c r="H155" i="55"/>
  <c r="J224" i="55"/>
  <c r="G282" i="55"/>
  <c r="G283" i="55"/>
  <c r="G33" i="55"/>
  <c r="O36" i="22"/>
  <c r="O37" i="22" s="1"/>
  <c r="F290" i="55"/>
  <c r="C23" i="21"/>
  <c r="I251" i="55"/>
  <c r="G138" i="55"/>
  <c r="I196" i="55" s="1"/>
  <c r="F289" i="55"/>
  <c r="I267" i="55"/>
  <c r="G154" i="55"/>
  <c r="I213" i="55" s="1"/>
  <c r="I251" i="53"/>
  <c r="I188" i="53"/>
  <c r="H130" i="55"/>
  <c r="J188" i="55" s="1"/>
  <c r="J243" i="55"/>
  <c r="J272" i="55"/>
  <c r="H159" i="55"/>
  <c r="I248" i="55"/>
  <c r="G135" i="55"/>
  <c r="I193" i="55" s="1"/>
  <c r="G140" i="55"/>
  <c r="I198" i="55" s="1"/>
  <c r="I253" i="55"/>
  <c r="G136" i="55"/>
  <c r="I194" i="55" s="1"/>
  <c r="I249" i="55"/>
  <c r="J180" i="55"/>
  <c r="I274" i="55"/>
  <c r="G161" i="55"/>
  <c r="I220" i="55" s="1"/>
  <c r="F10" i="55"/>
  <c r="F65" i="55"/>
  <c r="H200" i="55" s="1"/>
  <c r="H284" i="55"/>
  <c r="H285" i="55"/>
  <c r="H178" i="55"/>
  <c r="I247" i="55"/>
  <c r="G134" i="55"/>
  <c r="I192" i="55" s="1"/>
  <c r="G132" i="55"/>
  <c r="I190" i="55" s="1"/>
  <c r="I245" i="55"/>
  <c r="O56" i="22"/>
  <c r="P53" i="22" s="1"/>
  <c r="J245" i="53"/>
  <c r="J182" i="53"/>
  <c r="G262" i="53"/>
  <c r="G61" i="55"/>
  <c r="J270" i="55"/>
  <c r="H157" i="55"/>
  <c r="G17" i="61"/>
  <c r="D302" i="55"/>
  <c r="D305" i="55" s="1"/>
  <c r="I253" i="53"/>
  <c r="I245" i="53"/>
  <c r="I182" i="53"/>
  <c r="J233" i="55"/>
  <c r="H120" i="55"/>
  <c r="J227" i="55"/>
  <c r="J246" i="53"/>
  <c r="J183" i="53"/>
  <c r="I246" i="53"/>
  <c r="I183" i="53"/>
  <c r="J273" i="55"/>
  <c r="H160" i="55"/>
  <c r="J269" i="55"/>
  <c r="H156" i="55"/>
  <c r="H138" i="55"/>
  <c r="J196" i="55" s="1"/>
  <c r="J251" i="55"/>
  <c r="J267" i="55"/>
  <c r="H154" i="55"/>
  <c r="J247" i="53"/>
  <c r="J184" i="53"/>
  <c r="J185" i="55"/>
  <c r="G120" i="55"/>
  <c r="I233" i="55"/>
  <c r="J250" i="53"/>
  <c r="J187" i="53"/>
  <c r="H61" i="55"/>
  <c r="H135" i="55"/>
  <c r="J193" i="55" s="1"/>
  <c r="J248" i="55"/>
  <c r="J253" i="55"/>
  <c r="H140" i="55"/>
  <c r="J249" i="55"/>
  <c r="H136" i="55"/>
  <c r="J183" i="55"/>
  <c r="J274" i="55"/>
  <c r="H161" i="55"/>
  <c r="J179" i="55"/>
  <c r="J251" i="53"/>
  <c r="J188" i="53"/>
  <c r="I44" i="22"/>
  <c r="J206" i="55"/>
  <c r="H134" i="55"/>
  <c r="J192" i="55" s="1"/>
  <c r="J247" i="55"/>
  <c r="H132" i="55"/>
  <c r="J245" i="55"/>
  <c r="J181" i="55"/>
  <c r="J254" i="53"/>
  <c r="J186" i="55"/>
  <c r="J225" i="55"/>
  <c r="O42" i="22"/>
  <c r="O44" i="22" s="1"/>
  <c r="I254" i="53"/>
  <c r="I247" i="53"/>
  <c r="I184" i="53"/>
  <c r="J191" i="55" l="1"/>
  <c r="J194" i="55"/>
  <c r="E168" i="29"/>
  <c r="E153" i="29"/>
  <c r="E123" i="29"/>
  <c r="E138" i="29"/>
  <c r="H17" i="61"/>
  <c r="I8" i="61" s="1"/>
  <c r="G35" i="22"/>
  <c r="F60" i="22"/>
  <c r="J214" i="55"/>
  <c r="J216" i="55"/>
  <c r="F292" i="55"/>
  <c r="F302" i="55" s="1"/>
  <c r="F305" i="55" s="1"/>
  <c r="J220" i="55"/>
  <c r="J212" i="55"/>
  <c r="J191" i="53"/>
  <c r="G36" i="29"/>
  <c r="J260" i="53"/>
  <c r="I191" i="53"/>
  <c r="H260" i="53"/>
  <c r="H262" i="53" s="1"/>
  <c r="J213" i="55"/>
  <c r="E302" i="55"/>
  <c r="E305" i="55" s="1"/>
  <c r="H37" i="61"/>
  <c r="E9" i="21"/>
  <c r="P41" i="22"/>
  <c r="J190" i="55"/>
  <c r="J215" i="55"/>
  <c r="O38" i="22"/>
  <c r="P35" i="22" s="1"/>
  <c r="N30" i="22"/>
  <c r="N57" i="22"/>
  <c r="I259" i="53"/>
  <c r="E32" i="29"/>
  <c r="P54" i="22"/>
  <c r="P55" i="22" s="1"/>
  <c r="G10" i="55"/>
  <c r="G65" i="55"/>
  <c r="I200" i="55" s="1"/>
  <c r="H10" i="55"/>
  <c r="H65" i="55"/>
  <c r="J200" i="55" s="1"/>
  <c r="J195" i="55"/>
  <c r="E12" i="23"/>
  <c r="G12" i="23" s="1"/>
  <c r="J189" i="55"/>
  <c r="E33" i="29"/>
  <c r="O43" i="22"/>
  <c r="J198" i="55"/>
  <c r="I284" i="55"/>
  <c r="I285" i="55"/>
  <c r="I178" i="55"/>
  <c r="I229" i="55" s="1"/>
  <c r="J219" i="55"/>
  <c r="J285" i="55"/>
  <c r="J178" i="55"/>
  <c r="J284" i="55"/>
  <c r="H8" i="61"/>
  <c r="G274" i="53"/>
  <c r="G276" i="53" s="1"/>
  <c r="H229" i="55"/>
  <c r="H282" i="55"/>
  <c r="H283" i="55"/>
  <c r="J218" i="55"/>
  <c r="G289" i="55"/>
  <c r="J217" i="55"/>
  <c r="F168" i="29" l="1"/>
  <c r="F153" i="29"/>
  <c r="F123" i="29"/>
  <c r="F138" i="29"/>
  <c r="G57" i="22"/>
  <c r="F14" i="69" s="1"/>
  <c r="F16" i="69" s="1"/>
  <c r="G38" i="22"/>
  <c r="I17" i="61"/>
  <c r="J8" i="61" s="1"/>
  <c r="P56" i="22"/>
  <c r="Q53" i="22" s="1"/>
  <c r="Q54" i="22" s="1"/>
  <c r="I260" i="53"/>
  <c r="I262" i="53" s="1"/>
  <c r="P42" i="22"/>
  <c r="P44" i="22" s="1"/>
  <c r="F33" i="29"/>
  <c r="G50" i="61"/>
  <c r="D23" i="21"/>
  <c r="F32" i="29"/>
  <c r="P36" i="22"/>
  <c r="P37" i="22" s="1"/>
  <c r="H36" i="29"/>
  <c r="C13" i="23"/>
  <c r="J17" i="61"/>
  <c r="H274" i="53"/>
  <c r="H276" i="53" s="1"/>
  <c r="H290" i="55"/>
  <c r="J282" i="55"/>
  <c r="J283" i="55"/>
  <c r="N58" i="22"/>
  <c r="E89" i="22" s="1"/>
  <c r="N31" i="22"/>
  <c r="G290" i="55"/>
  <c r="G292" i="55" s="1"/>
  <c r="J229" i="55"/>
  <c r="I37" i="61"/>
  <c r="F9" i="21"/>
  <c r="I282" i="55"/>
  <c r="I283" i="55"/>
  <c r="N32" i="22"/>
  <c r="J259" i="53"/>
  <c r="J262" i="53" s="1"/>
  <c r="G123" i="29" l="1"/>
  <c r="G138" i="29"/>
  <c r="G168" i="29"/>
  <c r="G153" i="29"/>
  <c r="H35" i="22"/>
  <c r="G60" i="22"/>
  <c r="P43" i="22"/>
  <c r="Q55" i="22"/>
  <c r="Q56" i="22"/>
  <c r="I274" i="53"/>
  <c r="I276" i="53" s="1"/>
  <c r="I36" i="29"/>
  <c r="K8" i="61"/>
  <c r="O29" i="22"/>
  <c r="N60" i="22"/>
  <c r="H9" i="21"/>
  <c r="K37" i="61"/>
  <c r="G302" i="55"/>
  <c r="G305" i="55" s="1"/>
  <c r="I289" i="55"/>
  <c r="G32" i="29"/>
  <c r="K17" i="61"/>
  <c r="G9" i="21"/>
  <c r="J37" i="61"/>
  <c r="H289" i="55"/>
  <c r="H292" i="55" s="1"/>
  <c r="Q41" i="22"/>
  <c r="H32" i="29"/>
  <c r="J274" i="53"/>
  <c r="J276" i="53" s="1"/>
  <c r="I290" i="55"/>
  <c r="G33" i="29"/>
  <c r="N59" i="22"/>
  <c r="J290" i="55"/>
  <c r="D13" i="23"/>
  <c r="F13" i="23" s="1"/>
  <c r="P38" i="22"/>
  <c r="Q35" i="22" s="1"/>
  <c r="E23" i="21" l="1"/>
  <c r="I168" i="29"/>
  <c r="I153" i="29"/>
  <c r="I123" i="29"/>
  <c r="I138" i="29"/>
  <c r="H153" i="29"/>
  <c r="H123" i="29"/>
  <c r="H138" i="29"/>
  <c r="H168" i="29"/>
  <c r="H50" i="61"/>
  <c r="H57" i="22"/>
  <c r="G14" i="69" s="1"/>
  <c r="G16" i="69" s="1"/>
  <c r="H38" i="22"/>
  <c r="J50" i="61"/>
  <c r="I292" i="55"/>
  <c r="H302" i="55"/>
  <c r="H305" i="55" s="1"/>
  <c r="Q42" i="22"/>
  <c r="Q44" i="22" s="1"/>
  <c r="I33" i="29"/>
  <c r="H33" i="29"/>
  <c r="E13" i="23"/>
  <c r="G13" i="23" s="1"/>
  <c r="I32" i="29"/>
  <c r="F23" i="21"/>
  <c r="I50" i="61"/>
  <c r="O30" i="22"/>
  <c r="O32" i="22" s="1"/>
  <c r="O57" i="22"/>
  <c r="Q36" i="22"/>
  <c r="Q37" i="22" s="1"/>
  <c r="J289" i="55"/>
  <c r="J292" i="55" s="1"/>
  <c r="H60" i="22" l="1"/>
  <c r="I35" i="22"/>
  <c r="G23" i="21"/>
  <c r="H23" i="21"/>
  <c r="I302" i="55"/>
  <c r="I305" i="55" s="1"/>
  <c r="J302" i="55"/>
  <c r="J305" i="55" s="1"/>
  <c r="O58" i="22"/>
  <c r="F89" i="22" s="1"/>
  <c r="O31" i="22"/>
  <c r="C14" i="23"/>
  <c r="Q38" i="22"/>
  <c r="P29" i="22"/>
  <c r="O60" i="22"/>
  <c r="Q43" i="22"/>
  <c r="K50" i="61" l="1"/>
  <c r="I57" i="22"/>
  <c r="H14" i="69" s="1"/>
  <c r="H16" i="69" s="1"/>
  <c r="I38" i="22"/>
  <c r="I60" i="22" s="1"/>
  <c r="D14" i="23"/>
  <c r="F14" i="23" s="1"/>
  <c r="P30" i="22"/>
  <c r="P58" i="22" s="1"/>
  <c r="G89" i="22" s="1"/>
  <c r="P57" i="22"/>
  <c r="O59" i="22"/>
  <c r="P31" i="22" l="1"/>
  <c r="P59" i="22" s="1"/>
  <c r="E14" i="23"/>
  <c r="G14" i="23" s="1"/>
  <c r="P32" i="22"/>
  <c r="Q29" i="22" l="1"/>
  <c r="P60" i="22"/>
  <c r="C15" i="23"/>
  <c r="D15" i="23" l="1"/>
  <c r="Q30" i="22"/>
  <c r="Q57" i="22"/>
  <c r="F15" i="23" l="1"/>
  <c r="E15" i="23" s="1"/>
  <c r="G15" i="23" s="1"/>
  <c r="C16" i="23" s="1"/>
  <c r="D16" i="23" s="1"/>
  <c r="E16" i="23" s="1"/>
  <c r="G16" i="23" s="1"/>
  <c r="C17" i="23" s="1"/>
  <c r="Q58" i="22"/>
  <c r="H89" i="22" s="1"/>
  <c r="Q31" i="22"/>
  <c r="Q59" i="22" s="1"/>
  <c r="Q32" i="22"/>
  <c r="Q60" i="22" s="1"/>
  <c r="D17" i="23" l="1"/>
  <c r="E17" i="23" l="1"/>
  <c r="G17" i="23" s="1"/>
  <c r="C18" i="23" s="1"/>
  <c r="D18" i="23" s="1"/>
  <c r="E18" i="23" l="1"/>
  <c r="G18" i="23" s="1"/>
  <c r="C19" i="23" s="1"/>
  <c r="D19" i="23" s="1"/>
  <c r="E19" i="23" l="1"/>
  <c r="G19" i="23" s="1"/>
  <c r="C20" i="23" s="1"/>
  <c r="D20" i="23" s="1"/>
  <c r="E20" i="23" l="1"/>
  <c r="G20" i="23" s="1"/>
  <c r="C21" i="23" s="1"/>
  <c r="D21" i="23" s="1"/>
  <c r="B51" i="21" s="1"/>
  <c r="E21" i="23" l="1"/>
  <c r="C28" i="68"/>
  <c r="C27" i="68" l="1"/>
  <c r="G21" i="23"/>
  <c r="B29" i="69" l="1"/>
  <c r="K29" i="69" s="1"/>
  <c r="C22" i="23"/>
  <c r="D22" i="23" l="1"/>
  <c r="E22" i="23" l="1"/>
  <c r="G22" i="23" l="1"/>
  <c r="C23" i="23" s="1"/>
  <c r="D23" i="23" l="1"/>
  <c r="E23" i="23" l="1"/>
  <c r="G23" i="23" l="1"/>
  <c r="C24" i="23" s="1"/>
  <c r="D24" i="23" l="1"/>
  <c r="E24" i="23" l="1"/>
  <c r="G24" i="23" l="1"/>
  <c r="C25" i="23" s="1"/>
  <c r="D25" i="23" l="1"/>
  <c r="E25" i="23" l="1"/>
  <c r="G25" i="23" l="1"/>
  <c r="C26" i="23" s="1"/>
  <c r="D26" i="23" l="1"/>
  <c r="E26" i="23" l="1"/>
  <c r="G26" i="23" l="1"/>
  <c r="C27" i="23" s="1"/>
  <c r="D27" i="23" l="1"/>
  <c r="E27" i="23" l="1"/>
  <c r="G27" i="23" s="1"/>
  <c r="C28" i="23" s="1"/>
  <c r="D28" i="23" s="1"/>
  <c r="E28" i="23" l="1"/>
  <c r="G28" i="23" s="1"/>
  <c r="C29" i="23" s="1"/>
  <c r="D29" i="23" s="1"/>
  <c r="E29" i="23" l="1"/>
  <c r="G29" i="23" s="1"/>
  <c r="C30" i="23" s="1"/>
  <c r="D30" i="23" s="1"/>
  <c r="E30" i="23" l="1"/>
  <c r="G30" i="23" s="1"/>
  <c r="C31" i="23" s="1"/>
  <c r="D31" i="23" s="1"/>
  <c r="E31" i="23" l="1"/>
  <c r="G31" i="23" s="1"/>
  <c r="C32" i="23" s="1"/>
  <c r="D32" i="23" s="1"/>
  <c r="E32" i="23" l="1"/>
  <c r="G32" i="23" s="1"/>
  <c r="C33" i="23" s="1"/>
  <c r="D33" i="23" s="1"/>
  <c r="C51" i="21" s="1"/>
  <c r="E33" i="23" l="1"/>
  <c r="D28" i="68"/>
  <c r="D27" i="68" l="1"/>
  <c r="G33" i="23"/>
  <c r="C34" i="23" l="1"/>
  <c r="C29" i="69"/>
  <c r="D34" i="23" l="1"/>
  <c r="E34" i="23" l="1"/>
  <c r="G34" i="23" l="1"/>
  <c r="C35" i="23" s="1"/>
  <c r="D35" i="23" l="1"/>
  <c r="E35" i="23" l="1"/>
  <c r="G35" i="23" l="1"/>
  <c r="C36" i="23" s="1"/>
  <c r="D36" i="23" l="1"/>
  <c r="E36" i="23" l="1"/>
  <c r="G36" i="23" l="1"/>
  <c r="C37" i="23" s="1"/>
  <c r="D37" i="23" l="1"/>
  <c r="E37" i="23" l="1"/>
  <c r="G37" i="23" l="1"/>
  <c r="C38" i="23" s="1"/>
  <c r="D38" i="23" l="1"/>
  <c r="E38" i="23" l="1"/>
  <c r="G38" i="23" l="1"/>
  <c r="C39" i="23" s="1"/>
  <c r="D39" i="23" l="1"/>
  <c r="E39" i="23" l="1"/>
  <c r="G39" i="23" s="1"/>
  <c r="C40" i="23" s="1"/>
  <c r="D40" i="23" s="1"/>
  <c r="E40" i="23" l="1"/>
  <c r="G40" i="23" s="1"/>
  <c r="C41" i="23" s="1"/>
  <c r="D41" i="23" s="1"/>
  <c r="E41" i="23" l="1"/>
  <c r="G41" i="23" s="1"/>
  <c r="C42" i="23" s="1"/>
  <c r="D42" i="23" s="1"/>
  <c r="E42" i="23" l="1"/>
  <c r="G42" i="23" s="1"/>
  <c r="C43" i="23" s="1"/>
  <c r="D43" i="23" s="1"/>
  <c r="E43" i="23" l="1"/>
  <c r="G43" i="23" s="1"/>
  <c r="C44" i="23" s="1"/>
  <c r="D44" i="23" s="1"/>
  <c r="E44" i="23" l="1"/>
  <c r="G44" i="23" s="1"/>
  <c r="C45" i="23" s="1"/>
  <c r="D45" i="23" s="1"/>
  <c r="D51" i="21" s="1"/>
  <c r="E45" i="23" l="1"/>
  <c r="E28" i="68"/>
  <c r="E27" i="68" l="1"/>
  <c r="G45" i="23"/>
  <c r="D29" i="69" l="1"/>
  <c r="F51" i="21" l="1"/>
  <c r="G28" i="68" l="1"/>
  <c r="G27" i="68" l="1"/>
  <c r="F29" i="69" l="1"/>
  <c r="G51" i="21" l="1"/>
  <c r="H28" i="68" l="1"/>
  <c r="E51" i="21" l="1"/>
  <c r="F28" i="68"/>
  <c r="H27" i="68"/>
  <c r="F27" i="68" l="1"/>
  <c r="E29" i="69"/>
  <c r="G29" i="69"/>
  <c r="H51" i="21" l="1"/>
  <c r="D94" i="23" l="1"/>
  <c r="I28" i="68"/>
  <c r="E94" i="23" l="1"/>
  <c r="I27" i="68"/>
  <c r="H370" i="84" l="1"/>
  <c r="H371" i="84" s="1"/>
  <c r="E370" i="84"/>
  <c r="E371" i="84" s="1"/>
  <c r="G370" i="84"/>
  <c r="G371" i="84" s="1"/>
  <c r="F370" i="84"/>
  <c r="F371" i="84" s="1"/>
  <c r="D370" i="84"/>
  <c r="D371" i="84" s="1"/>
  <c r="C370" i="84"/>
  <c r="C371" i="84" s="1"/>
  <c r="B52" i="84"/>
  <c r="C325" i="84" s="1"/>
  <c r="C327" i="84" s="1"/>
  <c r="C326" i="84" l="1"/>
  <c r="D324" i="84"/>
  <c r="D327" i="84" s="1"/>
  <c r="C341" i="84"/>
  <c r="C373" i="84"/>
  <c r="C375" i="84" s="1"/>
  <c r="C15" i="21" s="1"/>
  <c r="G373" i="84"/>
  <c r="G375" i="84" s="1"/>
  <c r="G15" i="21" s="1"/>
  <c r="E373" i="84"/>
  <c r="E375" i="84" s="1"/>
  <c r="E15" i="21" s="1"/>
  <c r="D373" i="84"/>
  <c r="D375" i="84" s="1"/>
  <c r="D15" i="21" s="1"/>
  <c r="H373" i="84"/>
  <c r="H375" i="84" s="1"/>
  <c r="H15" i="21" s="1"/>
  <c r="F373" i="84"/>
  <c r="F375" i="84" s="1"/>
  <c r="F15" i="21" s="1"/>
  <c r="B370" i="84"/>
  <c r="B371" i="84" s="1"/>
  <c r="C187" i="84" l="1"/>
  <c r="C158" i="84"/>
  <c r="C160" i="84" s="1"/>
  <c r="D340" i="84"/>
  <c r="D350" i="84"/>
  <c r="D326" i="84"/>
  <c r="D341" i="84"/>
  <c r="E324" i="84"/>
  <c r="C267" i="84"/>
  <c r="C269" i="84" s="1"/>
  <c r="B373" i="84"/>
  <c r="B375" i="84" s="1"/>
  <c r="B15" i="21" s="1"/>
  <c r="D187" i="84" l="1"/>
  <c r="D158" i="84"/>
  <c r="D160" i="84" s="1"/>
  <c r="E340" i="84"/>
  <c r="E350" i="84"/>
  <c r="E327" i="84"/>
  <c r="E326" i="84" s="1"/>
  <c r="D105" i="84"/>
  <c r="C268" i="84"/>
  <c r="D266" i="84"/>
  <c r="E187" i="84" l="1"/>
  <c r="E158" i="84"/>
  <c r="E160" i="84" s="1"/>
  <c r="F324" i="84"/>
  <c r="E341" i="84"/>
  <c r="C284" i="84"/>
  <c r="D269" i="84"/>
  <c r="E105" i="84"/>
  <c r="F52" i="61" s="1"/>
  <c r="F327" i="84" l="1"/>
  <c r="F326" i="84" s="1"/>
  <c r="F340" i="84"/>
  <c r="F350" i="84"/>
  <c r="D85" i="84"/>
  <c r="B13" i="21" s="1"/>
  <c r="E266" i="84"/>
  <c r="E269" i="84" s="1"/>
  <c r="D283" i="84"/>
  <c r="D268" i="84"/>
  <c r="F187" i="84" l="1"/>
  <c r="F158" i="84"/>
  <c r="F160" i="84" s="1"/>
  <c r="G324" i="84"/>
  <c r="F341" i="84"/>
  <c r="E52" i="61"/>
  <c r="D112" i="84"/>
  <c r="C127" i="29"/>
  <c r="C172" i="29"/>
  <c r="C142" i="29"/>
  <c r="C157" i="29"/>
  <c r="E85" i="84"/>
  <c r="C13" i="21" s="1"/>
  <c r="D157" i="29" s="1"/>
  <c r="E18" i="61"/>
  <c r="B18" i="21"/>
  <c r="D92" i="84"/>
  <c r="F266" i="84"/>
  <c r="F269" i="84" s="1"/>
  <c r="E91" i="84"/>
  <c r="C17" i="21"/>
  <c r="D284" i="84"/>
  <c r="E268" i="84"/>
  <c r="F105" i="84"/>
  <c r="G52" i="61" s="1"/>
  <c r="E112" i="84"/>
  <c r="C27" i="21" s="1"/>
  <c r="C29" i="21" s="1"/>
  <c r="G340" i="84" l="1"/>
  <c r="G350" i="84"/>
  <c r="G327" i="84"/>
  <c r="G326" i="84" s="1"/>
  <c r="E54" i="61"/>
  <c r="B26" i="69" s="1"/>
  <c r="B27" i="21"/>
  <c r="B29" i="21" s="1"/>
  <c r="D122" i="84"/>
  <c r="D142" i="29"/>
  <c r="D172" i="29"/>
  <c r="F85" i="84"/>
  <c r="D13" i="21" s="1"/>
  <c r="D127" i="29"/>
  <c r="E284" i="84"/>
  <c r="C143" i="29"/>
  <c r="C144" i="29" s="1"/>
  <c r="C158" i="29"/>
  <c r="C159" i="29" s="1"/>
  <c r="C128" i="29"/>
  <c r="C129" i="29" s="1"/>
  <c r="B19" i="21"/>
  <c r="C6" i="68" s="1"/>
  <c r="C173" i="29"/>
  <c r="C174" i="29" s="1"/>
  <c r="E21" i="61"/>
  <c r="E42" i="61" s="1"/>
  <c r="B11" i="69" s="1"/>
  <c r="K11" i="69" s="1"/>
  <c r="F9" i="61"/>
  <c r="F12" i="61" s="1"/>
  <c r="E283" i="84"/>
  <c r="G266" i="84"/>
  <c r="G269" i="84" s="1"/>
  <c r="F268" i="84"/>
  <c r="D177" i="29"/>
  <c r="D178" i="29" s="1"/>
  <c r="D162" i="29"/>
  <c r="D163" i="29" s="1"/>
  <c r="D132" i="29"/>
  <c r="D133" i="29" s="1"/>
  <c r="D147" i="29"/>
  <c r="D148" i="29" s="1"/>
  <c r="C42" i="21"/>
  <c r="D24" i="68"/>
  <c r="F54" i="61"/>
  <c r="E122" i="84"/>
  <c r="G187" i="84" l="1"/>
  <c r="G158" i="84"/>
  <c r="G160" i="84" s="1"/>
  <c r="H324" i="84"/>
  <c r="G341" i="84"/>
  <c r="C12" i="68"/>
  <c r="K26" i="69"/>
  <c r="C132" i="29"/>
  <c r="C133" i="29" s="1"/>
  <c r="C134" i="29" s="1"/>
  <c r="C177" i="29"/>
  <c r="C178" i="29" s="1"/>
  <c r="C179" i="29" s="1"/>
  <c r="C24" i="68"/>
  <c r="K24" i="68" s="1"/>
  <c r="C162" i="29"/>
  <c r="C163" i="29" s="1"/>
  <c r="C164" i="29" s="1"/>
  <c r="B42" i="21"/>
  <c r="B44" i="21" s="1"/>
  <c r="C147" i="29"/>
  <c r="C148" i="29" s="1"/>
  <c r="C149" i="29" s="1"/>
  <c r="F283" i="84"/>
  <c r="E17" i="21" s="1"/>
  <c r="F284" i="84"/>
  <c r="H266" i="84"/>
  <c r="H269" i="84" s="1"/>
  <c r="F91" i="84"/>
  <c r="D17" i="21"/>
  <c r="F18" i="61"/>
  <c r="E92" i="84"/>
  <c r="C18" i="21"/>
  <c r="G268" i="84"/>
  <c r="E127" i="29"/>
  <c r="E157" i="29"/>
  <c r="E172" i="29"/>
  <c r="E142" i="29"/>
  <c r="G18" i="61"/>
  <c r="D18" i="21"/>
  <c r="C26" i="69"/>
  <c r="D12" i="68" s="1"/>
  <c r="F112" i="84"/>
  <c r="G54" i="61" s="1"/>
  <c r="F92" i="84"/>
  <c r="H340" i="84" l="1"/>
  <c r="H350" i="84"/>
  <c r="H327" i="84"/>
  <c r="H326" i="84" s="1"/>
  <c r="G91" i="84"/>
  <c r="B49" i="21"/>
  <c r="I266" i="84"/>
  <c r="I269" i="84" s="1"/>
  <c r="C19" i="21"/>
  <c r="D143" i="29"/>
  <c r="D144" i="29" s="1"/>
  <c r="D149" i="29" s="1"/>
  <c r="D158" i="29"/>
  <c r="D159" i="29" s="1"/>
  <c r="D164" i="29" s="1"/>
  <c r="D173" i="29"/>
  <c r="D174" i="29" s="1"/>
  <c r="D179" i="29" s="1"/>
  <c r="D128" i="29"/>
  <c r="D129" i="29" s="1"/>
  <c r="D134" i="29" s="1"/>
  <c r="G284" i="84"/>
  <c r="G9" i="61"/>
  <c r="G12" i="61" s="1"/>
  <c r="F21" i="61"/>
  <c r="F42" i="61" s="1"/>
  <c r="C11" i="69" s="1"/>
  <c r="H268" i="84"/>
  <c r="E128" i="29"/>
  <c r="E129" i="29" s="1"/>
  <c r="E143" i="29"/>
  <c r="E144" i="29" s="1"/>
  <c r="E173" i="29"/>
  <c r="E174" i="29" s="1"/>
  <c r="E158" i="29"/>
  <c r="E159" i="29" s="1"/>
  <c r="D19" i="21"/>
  <c r="E6" i="68" s="1"/>
  <c r="G21" i="61"/>
  <c r="G42" i="61" s="1"/>
  <c r="H9" i="61"/>
  <c r="H12" i="61" s="1"/>
  <c r="D26" i="69"/>
  <c r="E12" i="68" s="1"/>
  <c r="G105" i="84"/>
  <c r="H52" i="61" s="1"/>
  <c r="D27" i="21"/>
  <c r="D29" i="21" s="1"/>
  <c r="F122" i="84"/>
  <c r="G283" i="84"/>
  <c r="H187" i="84" l="1"/>
  <c r="H158" i="84"/>
  <c r="H160" i="84" s="1"/>
  <c r="H341" i="84"/>
  <c r="I324" i="84"/>
  <c r="I327" i="84" s="1"/>
  <c r="I268" i="84"/>
  <c r="D6" i="68"/>
  <c r="L24" i="68" s="1"/>
  <c r="C44" i="21"/>
  <c r="H284" i="84"/>
  <c r="G85" i="84"/>
  <c r="E13" i="21" s="1"/>
  <c r="E132" i="29"/>
  <c r="E133" i="29" s="1"/>
  <c r="E134" i="29" s="1"/>
  <c r="E147" i="29"/>
  <c r="E148" i="29" s="1"/>
  <c r="E149" i="29" s="1"/>
  <c r="E177" i="29"/>
  <c r="E178" i="29" s="1"/>
  <c r="E179" i="29" s="1"/>
  <c r="E162" i="29"/>
  <c r="E163" i="29" s="1"/>
  <c r="E164" i="29" s="1"/>
  <c r="H91" i="84"/>
  <c r="F17" i="21"/>
  <c r="D11" i="69"/>
  <c r="H18" i="61"/>
  <c r="H21" i="61" s="1"/>
  <c r="H42" i="61" s="1"/>
  <c r="E11" i="69" s="1"/>
  <c r="E18" i="21"/>
  <c r="D42" i="21"/>
  <c r="D44" i="21" s="1"/>
  <c r="E24" i="68"/>
  <c r="M24" i="68" s="1"/>
  <c r="G112" i="84"/>
  <c r="H54" i="61" s="1"/>
  <c r="E26" i="69" s="1"/>
  <c r="F12" i="68" s="1"/>
  <c r="G92" i="84"/>
  <c r="I326" i="84" l="1"/>
  <c r="I341" i="84"/>
  <c r="I340" i="84"/>
  <c r="I350" i="84"/>
  <c r="C49" i="21"/>
  <c r="I284" i="84"/>
  <c r="I9" i="61"/>
  <c r="I12" i="61" s="1"/>
  <c r="F127" i="29"/>
  <c r="F172" i="29"/>
  <c r="F142" i="29"/>
  <c r="F157" i="29"/>
  <c r="F128" i="29"/>
  <c r="F143" i="29"/>
  <c r="F173" i="29"/>
  <c r="F158" i="29"/>
  <c r="E19" i="21"/>
  <c r="F6" i="68" s="1"/>
  <c r="D49" i="21"/>
  <c r="H105" i="84"/>
  <c r="I52" i="61" s="1"/>
  <c r="G122" i="84"/>
  <c r="E27" i="21"/>
  <c r="E29" i="21" s="1"/>
  <c r="H283" i="84"/>
  <c r="I187" i="84" l="1"/>
  <c r="I158" i="84"/>
  <c r="I160" i="84" s="1"/>
  <c r="H85" i="84"/>
  <c r="F13" i="21" s="1"/>
  <c r="F129" i="29"/>
  <c r="F144" i="29"/>
  <c r="F162" i="29"/>
  <c r="F163" i="29" s="1"/>
  <c r="F132" i="29"/>
  <c r="F133" i="29" s="1"/>
  <c r="F147" i="29"/>
  <c r="F148" i="29" s="1"/>
  <c r="F177" i="29"/>
  <c r="F178" i="29" s="1"/>
  <c r="F174" i="29"/>
  <c r="F159" i="29"/>
  <c r="I91" i="84"/>
  <c r="G17" i="21"/>
  <c r="I18" i="61"/>
  <c r="J9" i="61" s="1"/>
  <c r="J12" i="61" s="1"/>
  <c r="F18" i="21"/>
  <c r="F24" i="68"/>
  <c r="N24" i="68" s="1"/>
  <c r="E42" i="21"/>
  <c r="E44" i="21" s="1"/>
  <c r="I105" i="84"/>
  <c r="J52" i="61" s="1"/>
  <c r="H112" i="84"/>
  <c r="H122" i="84" s="1"/>
  <c r="H92" i="84"/>
  <c r="G172" i="29" l="1"/>
  <c r="G127" i="29"/>
  <c r="G157" i="29"/>
  <c r="G142" i="29"/>
  <c r="I85" i="84"/>
  <c r="G13" i="21" s="1"/>
  <c r="F164" i="29"/>
  <c r="F134" i="29"/>
  <c r="F149" i="29"/>
  <c r="F179" i="29"/>
  <c r="F19" i="21"/>
  <c r="G6" i="68" s="1"/>
  <c r="G143" i="29"/>
  <c r="G173" i="29"/>
  <c r="G158" i="29"/>
  <c r="G128" i="29"/>
  <c r="I21" i="61"/>
  <c r="I42" i="61" s="1"/>
  <c r="F11" i="69" s="1"/>
  <c r="E49" i="21"/>
  <c r="F27" i="21"/>
  <c r="F29" i="21" s="1"/>
  <c r="I54" i="61"/>
  <c r="F26" i="69" s="1"/>
  <c r="G12" i="68" s="1"/>
  <c r="I283" i="84"/>
  <c r="G129" i="29" l="1"/>
  <c r="G144" i="29"/>
  <c r="G174" i="29"/>
  <c r="H157" i="29"/>
  <c r="H172" i="29"/>
  <c r="H127" i="29"/>
  <c r="H142" i="29"/>
  <c r="G159" i="29"/>
  <c r="G177" i="29"/>
  <c r="G178" i="29" s="1"/>
  <c r="G162" i="29"/>
  <c r="G163" i="29" s="1"/>
  <c r="G132" i="29"/>
  <c r="G133" i="29" s="1"/>
  <c r="G147" i="29"/>
  <c r="G148" i="29" s="1"/>
  <c r="J18" i="61"/>
  <c r="G18" i="21"/>
  <c r="J91" i="84"/>
  <c r="H17" i="21"/>
  <c r="K18" i="61"/>
  <c r="H18" i="21"/>
  <c r="G24" i="68"/>
  <c r="O24" i="68" s="1"/>
  <c r="F42" i="21"/>
  <c r="F44" i="21" s="1"/>
  <c r="J92" i="84"/>
  <c r="I112" i="84"/>
  <c r="J54" i="61" s="1"/>
  <c r="I92" i="84"/>
  <c r="G134" i="29" l="1"/>
  <c r="G179" i="29"/>
  <c r="G164" i="29"/>
  <c r="G149" i="29"/>
  <c r="I128" i="29"/>
  <c r="I143" i="29"/>
  <c r="I173" i="29"/>
  <c r="I158" i="29"/>
  <c r="H173" i="29"/>
  <c r="H174" i="29" s="1"/>
  <c r="H158" i="29"/>
  <c r="H159" i="29" s="1"/>
  <c r="H128" i="29"/>
  <c r="H129" i="29" s="1"/>
  <c r="H143" i="29"/>
  <c r="H144" i="29" s="1"/>
  <c r="G19" i="21"/>
  <c r="H6" i="68" s="1"/>
  <c r="K9" i="61"/>
  <c r="K12" i="61" s="1"/>
  <c r="J21" i="61"/>
  <c r="J42" i="61" s="1"/>
  <c r="G26" i="69"/>
  <c r="H12" i="68" s="1"/>
  <c r="F49" i="21"/>
  <c r="J105" i="84"/>
  <c r="K52" i="61" s="1"/>
  <c r="G27" i="21"/>
  <c r="G29" i="21" s="1"/>
  <c r="I122" i="84"/>
  <c r="J85" i="84" l="1"/>
  <c r="H13" i="21" s="1"/>
  <c r="H177" i="29"/>
  <c r="H178" i="29" s="1"/>
  <c r="H179" i="29" s="1"/>
  <c r="H162" i="29"/>
  <c r="H163" i="29" s="1"/>
  <c r="H164" i="29" s="1"/>
  <c r="H132" i="29"/>
  <c r="H133" i="29" s="1"/>
  <c r="H134" i="29" s="1"/>
  <c r="H147" i="29"/>
  <c r="H148" i="29" s="1"/>
  <c r="H149" i="29" s="1"/>
  <c r="G11" i="69"/>
  <c r="G42" i="21"/>
  <c r="G44" i="21" s="1"/>
  <c r="H24" i="68"/>
  <c r="P24" i="68" s="1"/>
  <c r="K21" i="61"/>
  <c r="K42" i="61" s="1"/>
  <c r="H11" i="69" s="1"/>
  <c r="J112" i="84"/>
  <c r="I127" i="29" l="1"/>
  <c r="I129" i="29" s="1"/>
  <c r="I157" i="29"/>
  <c r="I159" i="29" s="1"/>
  <c r="I172" i="29"/>
  <c r="I174" i="29" s="1"/>
  <c r="I142" i="29"/>
  <c r="I144" i="29" s="1"/>
  <c r="H19" i="21"/>
  <c r="I6" i="68" s="1"/>
  <c r="G49" i="21"/>
  <c r="K54" i="61"/>
  <c r="H26" i="69" s="1"/>
  <c r="I12" i="68" s="1"/>
  <c r="H27" i="21"/>
  <c r="H29" i="21" s="1"/>
  <c r="J122" i="84"/>
  <c r="I132" i="29" l="1"/>
  <c r="I133" i="29" s="1"/>
  <c r="I134" i="29" s="1"/>
  <c r="I147" i="29"/>
  <c r="I148" i="29" s="1"/>
  <c r="I149" i="29" s="1"/>
  <c r="I177" i="29"/>
  <c r="I178" i="29" s="1"/>
  <c r="I179" i="29" s="1"/>
  <c r="I162" i="29"/>
  <c r="I163" i="29" s="1"/>
  <c r="I164" i="29" s="1"/>
  <c r="H42" i="21"/>
  <c r="H44" i="21" s="1"/>
  <c r="I24" i="68"/>
  <c r="Q24" i="68" s="1"/>
  <c r="H49" i="21" l="1"/>
  <c r="C490" i="84" l="1"/>
  <c r="C492" i="84" s="1"/>
  <c r="D490" i="84"/>
  <c r="D492" i="84" s="1"/>
  <c r="E87" i="84" l="1"/>
  <c r="E84" i="84"/>
  <c r="D87" i="84"/>
  <c r="D84" i="84"/>
  <c r="E490" i="84"/>
  <c r="E492" i="84" s="1"/>
  <c r="D89" i="84" l="1"/>
  <c r="E39" i="61" s="1"/>
  <c r="F87" i="84"/>
  <c r="F84" i="84"/>
  <c r="E89" i="84"/>
  <c r="F39" i="61" s="1"/>
  <c r="F490" i="84"/>
  <c r="F492" i="84" s="1"/>
  <c r="G87" i="84" l="1"/>
  <c r="G84" i="84"/>
  <c r="F89" i="84"/>
  <c r="G39" i="61" s="1"/>
  <c r="F40" i="61"/>
  <c r="E124" i="84"/>
  <c r="E40" i="61"/>
  <c r="D124" i="84"/>
  <c r="G490" i="84"/>
  <c r="G492" i="84" s="1"/>
  <c r="H87" i="84" l="1"/>
  <c r="H84" i="84"/>
  <c r="G40" i="61"/>
  <c r="F124" i="84"/>
  <c r="B9" i="69"/>
  <c r="E44" i="61"/>
  <c r="E55" i="61" s="1"/>
  <c r="C9" i="69"/>
  <c r="F44" i="61"/>
  <c r="F55" i="61" s="1"/>
  <c r="G89" i="84"/>
  <c r="H39" i="61" s="1"/>
  <c r="H490" i="84"/>
  <c r="H492" i="84" s="1"/>
  <c r="G44" i="61" l="1"/>
  <c r="G55" i="61" s="1"/>
  <c r="D9" i="69"/>
  <c r="E13" i="68" s="1"/>
  <c r="E56" i="61"/>
  <c r="C11" i="68"/>
  <c r="E57" i="61"/>
  <c r="D11" i="62" s="1"/>
  <c r="F57" i="61"/>
  <c r="F56" i="61"/>
  <c r="I87" i="84"/>
  <c r="I84" i="84"/>
  <c r="H40" i="61"/>
  <c r="G124" i="84"/>
  <c r="K9" i="69"/>
  <c r="D13" i="68"/>
  <c r="C13" i="68"/>
  <c r="H89" i="84"/>
  <c r="I39" i="61" s="1"/>
  <c r="I490" i="84"/>
  <c r="I492" i="84" s="1"/>
  <c r="I40" i="61" l="1"/>
  <c r="H124" i="84"/>
  <c r="C25" i="69"/>
  <c r="C52" i="21"/>
  <c r="B52" i="21"/>
  <c r="B25" i="69"/>
  <c r="E9" i="69"/>
  <c r="F13" i="68" s="1"/>
  <c r="H44" i="61"/>
  <c r="H55" i="61" s="1"/>
  <c r="J87" i="84"/>
  <c r="J84" i="84"/>
  <c r="D12" i="62"/>
  <c r="D120" i="57"/>
  <c r="D121" i="57" s="1"/>
  <c r="G57" i="61"/>
  <c r="G56" i="61"/>
  <c r="I89" i="84"/>
  <c r="J39" i="61" s="1"/>
  <c r="C54" i="21" l="1"/>
  <c r="C87" i="22" s="1"/>
  <c r="D30" i="68"/>
  <c r="D41" i="29"/>
  <c r="J40" i="61"/>
  <c r="I124" i="84"/>
  <c r="I12" i="62"/>
  <c r="C91" i="29"/>
  <c r="E21" i="62"/>
  <c r="E22" i="62" s="1"/>
  <c r="C15" i="29"/>
  <c r="C80" i="29"/>
  <c r="D22" i="29"/>
  <c r="C68" i="29"/>
  <c r="D11" i="68"/>
  <c r="C28" i="69"/>
  <c r="C32" i="69" s="1"/>
  <c r="D25" i="69"/>
  <c r="D52" i="21"/>
  <c r="B28" i="69"/>
  <c r="K25" i="69"/>
  <c r="H56" i="61"/>
  <c r="H57" i="61"/>
  <c r="J89" i="84"/>
  <c r="K39" i="61" s="1"/>
  <c r="C41" i="29"/>
  <c r="B54" i="21"/>
  <c r="B87" i="22" s="1"/>
  <c r="C30" i="68"/>
  <c r="I44" i="61"/>
  <c r="I55" i="61" s="1"/>
  <c r="F9" i="69"/>
  <c r="G13" i="68" s="1"/>
  <c r="C90" i="22" l="1"/>
  <c r="B91" i="22"/>
  <c r="B92" i="22" s="1"/>
  <c r="B55" i="21" s="1"/>
  <c r="C31" i="68" s="1"/>
  <c r="C32" i="68" s="1"/>
  <c r="C91" i="22"/>
  <c r="C92" i="22" s="1"/>
  <c r="C55" i="21" s="1"/>
  <c r="D31" i="68" s="1"/>
  <c r="D32" i="68" s="1"/>
  <c r="E41" i="29"/>
  <c r="D54" i="21"/>
  <c r="D87" i="22" s="1"/>
  <c r="D91" i="22" s="1"/>
  <c r="D92" i="22" s="1"/>
  <c r="D55" i="21" s="1"/>
  <c r="E31" i="68" s="1"/>
  <c r="E30" i="68"/>
  <c r="J44" i="61"/>
  <c r="J55" i="61" s="1"/>
  <c r="G9" i="69"/>
  <c r="H13" i="68" s="1"/>
  <c r="D28" i="69"/>
  <c r="D32" i="69" s="1"/>
  <c r="E11" i="68"/>
  <c r="B34" i="69"/>
  <c r="C7" i="68"/>
  <c r="E52" i="21"/>
  <c r="E25" i="69"/>
  <c r="I56" i="61"/>
  <c r="I57" i="61"/>
  <c r="K40" i="61"/>
  <c r="J124" i="84"/>
  <c r="K28" i="69"/>
  <c r="B32" i="69"/>
  <c r="K32" i="69" s="1"/>
  <c r="B56" i="21" l="1"/>
  <c r="B57" i="21" s="1"/>
  <c r="B39" i="69" s="1"/>
  <c r="C56" i="21"/>
  <c r="E32" i="68"/>
  <c r="F52" i="21"/>
  <c r="F25" i="69"/>
  <c r="F19" i="62"/>
  <c r="F20" i="62"/>
  <c r="F11" i="68"/>
  <c r="E28" i="69"/>
  <c r="E32" i="69" s="1"/>
  <c r="H9" i="69"/>
  <c r="I13" i="68" s="1"/>
  <c r="K44" i="61"/>
  <c r="K55" i="61" s="1"/>
  <c r="F30" i="68"/>
  <c r="E54" i="21"/>
  <c r="E87" i="22" s="1"/>
  <c r="E91" i="22" s="1"/>
  <c r="E92" i="22" s="1"/>
  <c r="E55" i="21" s="1"/>
  <c r="F41" i="29"/>
  <c r="K34" i="69"/>
  <c r="C34" i="69"/>
  <c r="D34" i="69" s="1"/>
  <c r="E34" i="69" s="1"/>
  <c r="F34" i="69" s="1"/>
  <c r="J56" i="61"/>
  <c r="J57" i="61"/>
  <c r="F21" i="62"/>
  <c r="D56" i="21"/>
  <c r="D57" i="21" s="1"/>
  <c r="C77" i="29" l="1"/>
  <c r="B58" i="21"/>
  <c r="C106" i="29" s="1"/>
  <c r="C110" i="29" s="1"/>
  <c r="B18" i="69"/>
  <c r="D92" i="29"/>
  <c r="D95" i="29" s="1"/>
  <c r="D96" i="29" s="1"/>
  <c r="C55" i="29"/>
  <c r="C60" i="29" s="1"/>
  <c r="C64" i="29" s="1"/>
  <c r="C37" i="29"/>
  <c r="C39" i="29" s="1"/>
  <c r="C42" i="29" s="1"/>
  <c r="C44" i="29" s="1"/>
  <c r="C8" i="68"/>
  <c r="D9" i="29"/>
  <c r="D14" i="29" s="1"/>
  <c r="D15" i="29" s="1"/>
  <c r="D77" i="29"/>
  <c r="C57" i="21"/>
  <c r="D37" i="29"/>
  <c r="D39" i="29" s="1"/>
  <c r="D42" i="29" s="1"/>
  <c r="D44" i="29" s="1"/>
  <c r="E92" i="29"/>
  <c r="E95" i="29" s="1"/>
  <c r="E96" i="29" s="1"/>
  <c r="E9" i="29"/>
  <c r="E14" i="29" s="1"/>
  <c r="E15" i="29" s="1"/>
  <c r="D55" i="29"/>
  <c r="D60" i="29" s="1"/>
  <c r="D64" i="29" s="1"/>
  <c r="K57" i="61"/>
  <c r="K56" i="61"/>
  <c r="G11" i="68"/>
  <c r="F28" i="69"/>
  <c r="F32" i="69" s="1"/>
  <c r="G52" i="21"/>
  <c r="G25" i="69"/>
  <c r="G41" i="29"/>
  <c r="G30" i="68"/>
  <c r="F54" i="21"/>
  <c r="F87" i="22" s="1"/>
  <c r="F91" i="22" s="1"/>
  <c r="F92" i="22" s="1"/>
  <c r="F55" i="21" s="1"/>
  <c r="G31" i="68" s="1"/>
  <c r="D39" i="69"/>
  <c r="E8" i="68"/>
  <c r="B59" i="21"/>
  <c r="B38" i="69"/>
  <c r="B40" i="69" s="1"/>
  <c r="C114" i="29"/>
  <c r="D58" i="21"/>
  <c r="E106" i="29" s="1"/>
  <c r="E110" i="29" s="1"/>
  <c r="F9" i="29"/>
  <c r="F14" i="29" s="1"/>
  <c r="F15" i="29" s="1"/>
  <c r="K18" i="69"/>
  <c r="K39" i="69"/>
  <c r="C14" i="68"/>
  <c r="C33" i="68" s="1"/>
  <c r="C35" i="68" s="1"/>
  <c r="E37" i="29"/>
  <c r="E39" i="29" s="1"/>
  <c r="E42" i="29" s="1"/>
  <c r="E44" i="29" s="1"/>
  <c r="F31" i="68"/>
  <c r="F32" i="68" s="1"/>
  <c r="E56" i="21"/>
  <c r="E57" i="21" s="1"/>
  <c r="E77" i="29"/>
  <c r="E55" i="29"/>
  <c r="E60" i="29" s="1"/>
  <c r="E64" i="29" s="1"/>
  <c r="F92" i="29"/>
  <c r="F95" i="29" s="1"/>
  <c r="G34" i="69"/>
  <c r="C39" i="69" l="1"/>
  <c r="D8" i="68"/>
  <c r="D14" i="68" s="1"/>
  <c r="D33" i="68" s="1"/>
  <c r="C58" i="21"/>
  <c r="C18" i="69"/>
  <c r="D18" i="69" s="1"/>
  <c r="E18" i="69" s="1"/>
  <c r="G32" i="68"/>
  <c r="H11" i="68"/>
  <c r="G28" i="69"/>
  <c r="G32" i="69" s="1"/>
  <c r="H52" i="21"/>
  <c r="H25" i="69"/>
  <c r="H41" i="29"/>
  <c r="H30" i="68"/>
  <c r="G54" i="21"/>
  <c r="G87" i="22" s="1"/>
  <c r="G91" i="22" s="1"/>
  <c r="G92" i="22" s="1"/>
  <c r="G55" i="21" s="1"/>
  <c r="E39" i="69"/>
  <c r="F8" i="68"/>
  <c r="E114" i="29"/>
  <c r="D38" i="69"/>
  <c r="E58" i="21"/>
  <c r="F106" i="29" s="1"/>
  <c r="F110" i="29" s="1"/>
  <c r="D34" i="68"/>
  <c r="B8" i="69"/>
  <c r="E14" i="68"/>
  <c r="E33" i="68" s="1"/>
  <c r="F55" i="29"/>
  <c r="F60" i="29" s="1"/>
  <c r="F64" i="29" s="1"/>
  <c r="F96" i="29"/>
  <c r="F37" i="29"/>
  <c r="F39" i="29" s="1"/>
  <c r="F42" i="29" s="1"/>
  <c r="F44" i="29" s="1"/>
  <c r="G9" i="29"/>
  <c r="G14" i="29" s="1"/>
  <c r="G15" i="29" s="1"/>
  <c r="G92" i="29"/>
  <c r="G95" i="29" s="1"/>
  <c r="F77" i="29"/>
  <c r="F56" i="21"/>
  <c r="F57" i="21" s="1"/>
  <c r="H34" i="69"/>
  <c r="D106" i="29" l="1"/>
  <c r="D110" i="29" s="1"/>
  <c r="D114" i="29" s="1"/>
  <c r="C116" i="29" s="1"/>
  <c r="C59" i="21"/>
  <c r="D59" i="21" s="1"/>
  <c r="E59" i="21" s="1"/>
  <c r="D35" i="68"/>
  <c r="C8" i="69" s="1"/>
  <c r="C38" i="69"/>
  <c r="H28" i="69"/>
  <c r="H32" i="69" s="1"/>
  <c r="I11" i="68"/>
  <c r="I30" i="68"/>
  <c r="I41" i="29"/>
  <c r="H54" i="21"/>
  <c r="H87" i="22" s="1"/>
  <c r="H91" i="22" s="1"/>
  <c r="H92" i="22" s="1"/>
  <c r="H55" i="21" s="1"/>
  <c r="F18" i="69"/>
  <c r="F39" i="69"/>
  <c r="G8" i="68"/>
  <c r="G14" i="68" s="1"/>
  <c r="G33" i="68" s="1"/>
  <c r="E38" i="69"/>
  <c r="F58" i="21"/>
  <c r="G106" i="29" s="1"/>
  <c r="G110" i="29" s="1"/>
  <c r="K38" i="69"/>
  <c r="E34" i="68"/>
  <c r="E35" i="68" s="1"/>
  <c r="F14" i="68"/>
  <c r="F33" i="68" s="1"/>
  <c r="B12" i="69"/>
  <c r="C36" i="68"/>
  <c r="C37" i="68" s="1"/>
  <c r="K8" i="69"/>
  <c r="G96" i="29"/>
  <c r="H9" i="29"/>
  <c r="H14" i="29" s="1"/>
  <c r="H15" i="29" s="1"/>
  <c r="H92" i="29"/>
  <c r="H95" i="29" s="1"/>
  <c r="H31" i="68"/>
  <c r="H32" i="68" s="1"/>
  <c r="G56" i="21"/>
  <c r="G57" i="21" s="1"/>
  <c r="G77" i="29"/>
  <c r="G55" i="29"/>
  <c r="G60" i="29" s="1"/>
  <c r="G64" i="29" s="1"/>
  <c r="G37" i="29"/>
  <c r="G39" i="29" s="1"/>
  <c r="G42" i="29" s="1"/>
  <c r="G44" i="29" s="1"/>
  <c r="D33" i="62" l="1"/>
  <c r="G18" i="69"/>
  <c r="H8" i="68"/>
  <c r="G39" i="69"/>
  <c r="F38" i="69"/>
  <c r="F59" i="21"/>
  <c r="G58" i="21"/>
  <c r="H106" i="29" s="1"/>
  <c r="H110" i="29" s="1"/>
  <c r="D8" i="69"/>
  <c r="F34" i="68"/>
  <c r="F35" i="68" s="1"/>
  <c r="C12" i="69"/>
  <c r="C21" i="69" s="1"/>
  <c r="D36" i="68"/>
  <c r="D37" i="68" s="1"/>
  <c r="K12" i="69"/>
  <c r="B21" i="69"/>
  <c r="K21" i="69" s="1"/>
  <c r="C37" i="69"/>
  <c r="C40" i="69" s="1"/>
  <c r="K40" i="69"/>
  <c r="B42" i="69"/>
  <c r="I92" i="29"/>
  <c r="I95" i="29" s="1"/>
  <c r="D98" i="29"/>
  <c r="D32" i="62" s="1"/>
  <c r="H96" i="29"/>
  <c r="H37" i="29"/>
  <c r="H39" i="29" s="1"/>
  <c r="H42" i="29" s="1"/>
  <c r="H44" i="29" s="1"/>
  <c r="I31" i="68"/>
  <c r="I32" i="68" s="1"/>
  <c r="H56" i="21"/>
  <c r="H57" i="21" s="1"/>
  <c r="H55" i="29"/>
  <c r="H60" i="29" s="1"/>
  <c r="H64" i="29" s="1"/>
  <c r="H77" i="29"/>
  <c r="I9" i="29"/>
  <c r="I14" i="29" s="1"/>
  <c r="I15" i="29" s="1"/>
  <c r="H18" i="69" l="1"/>
  <c r="H39" i="69"/>
  <c r="I8" i="68"/>
  <c r="G59" i="21"/>
  <c r="G38" i="69"/>
  <c r="H58" i="21"/>
  <c r="I106" i="29" s="1"/>
  <c r="I110" i="29" s="1"/>
  <c r="H14" i="68"/>
  <c r="H33" i="68" s="1"/>
  <c r="D37" i="69"/>
  <c r="D40" i="69" s="1"/>
  <c r="C42" i="69"/>
  <c r="C44" i="69" s="1"/>
  <c r="C47" i="69" s="1"/>
  <c r="D12" i="69"/>
  <c r="D21" i="69" s="1"/>
  <c r="E36" i="68"/>
  <c r="E37" i="68" s="1"/>
  <c r="I77" i="29"/>
  <c r="C79" i="29" s="1"/>
  <c r="C82" i="29" s="1"/>
  <c r="D29" i="62" s="1"/>
  <c r="E8" i="69"/>
  <c r="G34" i="68"/>
  <c r="G35" i="68" s="1"/>
  <c r="B44" i="69"/>
  <c r="K42" i="69"/>
  <c r="J9" i="29"/>
  <c r="J14" i="29" s="1"/>
  <c r="J15" i="29" s="1"/>
  <c r="C16" i="29" s="1"/>
  <c r="D18" i="29" s="1"/>
  <c r="E18" i="29" s="1"/>
  <c r="I55" i="29"/>
  <c r="I60" i="29" s="1"/>
  <c r="I64" i="29" s="1"/>
  <c r="C66" i="29" s="1"/>
  <c r="C70" i="29" s="1"/>
  <c r="D31" i="62" s="1"/>
  <c r="J92" i="29"/>
  <c r="J95" i="29" s="1"/>
  <c r="I37" i="29"/>
  <c r="I39" i="29" s="1"/>
  <c r="I42" i="29" s="1"/>
  <c r="I44" i="29" s="1"/>
  <c r="C46" i="29" s="1"/>
  <c r="D28" i="62" s="1"/>
  <c r="H38" i="69" l="1"/>
  <c r="H59" i="21"/>
  <c r="E37" i="69"/>
  <c r="E40" i="69" s="1"/>
  <c r="D42" i="69"/>
  <c r="D44" i="69" s="1"/>
  <c r="D47" i="69" s="1"/>
  <c r="F8" i="69"/>
  <c r="H34" i="68"/>
  <c r="H35" i="68" s="1"/>
  <c r="B47" i="69"/>
  <c r="K44" i="69"/>
  <c r="F36" i="68"/>
  <c r="F37" i="68" s="1"/>
  <c r="E12" i="69"/>
  <c r="E21" i="69" s="1"/>
  <c r="I14" i="68"/>
  <c r="I33" i="68" s="1"/>
  <c r="D19" i="29"/>
  <c r="D30" i="62"/>
  <c r="F18" i="29"/>
  <c r="E19" i="29"/>
  <c r="G8" i="69" l="1"/>
  <c r="I34" i="68"/>
  <c r="I35" i="68" s="1"/>
  <c r="H8" i="69" s="1"/>
  <c r="G36" i="68"/>
  <c r="G37" i="68" s="1"/>
  <c r="F12" i="69"/>
  <c r="F21" i="69" s="1"/>
  <c r="E42" i="69"/>
  <c r="E44" i="69" s="1"/>
  <c r="E47" i="69" s="1"/>
  <c r="F37" i="69"/>
  <c r="F40" i="69" s="1"/>
  <c r="G18" i="29"/>
  <c r="F19" i="29"/>
  <c r="G37" i="69" l="1"/>
  <c r="G40" i="69" s="1"/>
  <c r="F42" i="69"/>
  <c r="F44" i="69" s="1"/>
  <c r="F47" i="69" s="1"/>
  <c r="H12" i="69"/>
  <c r="H21" i="69" s="1"/>
  <c r="I36" i="68"/>
  <c r="I37" i="68" s="1"/>
  <c r="G12" i="69"/>
  <c r="G21" i="69" s="1"/>
  <c r="H36" i="68"/>
  <c r="H37" i="68" s="1"/>
  <c r="H18" i="29"/>
  <c r="G19" i="29"/>
  <c r="H37" i="69" l="1"/>
  <c r="H40" i="69" s="1"/>
  <c r="G42" i="69"/>
  <c r="G44" i="69" s="1"/>
  <c r="G47" i="69" s="1"/>
  <c r="I18" i="29"/>
  <c r="H19" i="29"/>
  <c r="H42" i="69" l="1"/>
  <c r="H44" i="69" s="1"/>
  <c r="H47" i="69" s="1"/>
  <c r="J18" i="29"/>
  <c r="J19" i="29" s="1"/>
  <c r="I19" i="29"/>
  <c r="D20" i="29" l="1"/>
  <c r="F23" i="29" s="1"/>
  <c r="C35" i="83"/>
  <c r="D35" i="83" s="1"/>
  <c r="C37" i="83"/>
  <c r="D37" i="83" s="1"/>
  <c r="E37" i="83" s="1"/>
  <c r="F37" i="83" s="1"/>
  <c r="G37" i="83" s="1"/>
  <c r="H37" i="83" s="1"/>
  <c r="C34" i="83"/>
  <c r="C36" i="83"/>
  <c r="D36" i="83" s="1"/>
  <c r="E36" i="83" s="1"/>
  <c r="F36" i="83" s="1"/>
  <c r="G36" i="83" s="1"/>
  <c r="H36" i="83" s="1"/>
  <c r="F14" i="83"/>
  <c r="H14" i="83" s="1"/>
  <c r="E35" i="83" l="1"/>
  <c r="F35" i="83" s="1"/>
  <c r="G35" i="83" s="1"/>
  <c r="H35" i="83" s="1"/>
  <c r="D39" i="83"/>
  <c r="D34" i="83"/>
  <c r="C39" i="83"/>
  <c r="E34" i="83" l="1"/>
  <c r="F34" i="83" l="1"/>
  <c r="E39" i="83"/>
  <c r="G34" i="83" l="1"/>
  <c r="F39" i="83"/>
  <c r="H34" i="83" l="1"/>
  <c r="H39" i="83" s="1"/>
  <c r="G39" i="83"/>
  <c r="C9" i="61" l="1"/>
</calcChain>
</file>

<file path=xl/sharedStrings.xml><?xml version="1.0" encoding="utf-8"?>
<sst xmlns="http://schemas.openxmlformats.org/spreadsheetml/2006/main" count="2016" uniqueCount="945">
  <si>
    <t>Particulars</t>
  </si>
  <si>
    <t>Total</t>
  </si>
  <si>
    <t>Y1</t>
  </si>
  <si>
    <t>Y2</t>
  </si>
  <si>
    <t>Y3</t>
  </si>
  <si>
    <t>Y4</t>
  </si>
  <si>
    <t>Y5</t>
  </si>
  <si>
    <t>Operating Profit</t>
  </si>
  <si>
    <t>Total Receipts</t>
  </si>
  <si>
    <t>Admin Expenses</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</si>
  <si>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</si>
  <si>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</si>
  <si>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</si>
  <si>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</si>
  <si>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</si>
  <si>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</si>
  <si>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</si>
  <si>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</si>
  <si>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</si>
  <si>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</si>
  <si>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</si>
  <si>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</si>
  <si>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</si>
  <si>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</si>
  <si>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</si>
  <si>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</si>
  <si>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</si>
  <si>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</si>
  <si>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</si>
  <si>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</si>
  <si>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</si>
  <si>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</si>
  <si>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</si>
  <si>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</si>
  <si>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</si>
  <si>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</si>
  <si>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</si>
  <si>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</si>
  <si>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</si>
  <si>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</si>
  <si>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</si>
  <si>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</si>
  <si>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</si>
  <si>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</si>
  <si>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</si>
  <si>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</si>
  <si>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</si>
  <si>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</si>
  <si>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</si>
  <si>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</si>
  <si>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</si>
  <si>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</si>
  <si>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</si>
  <si>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</si>
  <si>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</si>
  <si>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</si>
  <si>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</si>
  <si>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</si>
  <si>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</si>
  <si>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</si>
  <si>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</si>
  <si>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</si>
  <si>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</si>
  <si>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</si>
  <si>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</si>
  <si>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</si>
  <si>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</si>
  <si>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</si>
  <si>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</si>
  <si>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</si>
  <si>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</si>
  <si>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</si>
  <si>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</si>
  <si>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</si>
  <si>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</si>
  <si>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</si>
  <si>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</si>
  <si>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</si>
  <si>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</si>
  <si>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</si>
  <si>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</si>
  <si>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</si>
  <si>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</si>
  <si>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</si>
  <si>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</si>
  <si>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</si>
  <si>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</si>
  <si>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</si>
  <si>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</si>
  <si>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</si>
  <si>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</si>
  <si>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</si>
  <si>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</si>
  <si>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</si>
  <si>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</si>
  <si>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</si>
  <si>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</si>
  <si>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</si>
  <si>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</si>
  <si>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</si>
  <si>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</si>
  <si>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</si>
  <si>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</si>
  <si>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</si>
  <si>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</si>
  <si>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</si>
  <si>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</si>
  <si>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</si>
  <si>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</si>
  <si>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</si>
  <si>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</si>
  <si>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</si>
  <si>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</si>
  <si>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</si>
  <si>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</si>
  <si>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</si>
  <si>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</si>
  <si>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</si>
  <si>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</si>
  <si>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</si>
  <si>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</si>
  <si>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</si>
  <si>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</si>
  <si>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</si>
  <si>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</si>
  <si>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</si>
  <si>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</si>
  <si>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</si>
  <si>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Unit</t>
  </si>
  <si>
    <t>Average BEP</t>
  </si>
  <si>
    <t>Own Contribution</t>
  </si>
  <si>
    <t>Operating cost</t>
  </si>
  <si>
    <t>Profit Before Depreciation ,Interest and Tax</t>
  </si>
  <si>
    <t>Amortization</t>
  </si>
  <si>
    <t>Profit Before Interest and Tax</t>
  </si>
  <si>
    <t>Output</t>
  </si>
  <si>
    <t>Dal Mill</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</si>
  <si>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</si>
  <si>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</si>
  <si>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</si>
  <si>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</si>
  <si>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</si>
  <si>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</si>
  <si>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</si>
  <si>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</si>
  <si>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</si>
  <si>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</si>
  <si>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</si>
  <si>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</si>
  <si>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</si>
  <si>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</si>
  <si>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</si>
  <si>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</si>
  <si>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</si>
  <si>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</si>
  <si>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</si>
  <si>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</si>
  <si>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</si>
  <si>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</si>
  <si>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</si>
  <si>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</si>
  <si>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</si>
  <si>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</si>
  <si>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</si>
  <si>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</si>
  <si>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</si>
  <si>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</si>
  <si>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</si>
  <si>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</si>
  <si>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</si>
  <si>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</si>
  <si>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</si>
  <si>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</si>
  <si>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</si>
  <si>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</si>
  <si>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</si>
  <si>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</si>
  <si>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</si>
  <si>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</si>
  <si>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</si>
  <si>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</si>
  <si>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</si>
  <si>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</si>
  <si>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</si>
  <si>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Support Staff</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</si>
  <si>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</si>
  <si>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</si>
  <si>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</si>
  <si>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</si>
  <si>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</si>
  <si>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</si>
  <si>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</si>
  <si>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</si>
  <si>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</si>
  <si>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</si>
  <si>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</si>
  <si>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</si>
  <si>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</si>
  <si>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</si>
  <si>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</si>
  <si>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</si>
  <si>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</si>
  <si>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</si>
  <si>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</si>
  <si>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</si>
  <si>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</si>
  <si>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</si>
  <si>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</si>
  <si>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</si>
  <si>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</si>
  <si>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</si>
  <si>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</si>
  <si>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</si>
  <si>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</si>
  <si>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</si>
  <si>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</si>
  <si>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</si>
  <si>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</si>
  <si>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</si>
  <si>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</si>
  <si>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</si>
  <si>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</si>
  <si>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</si>
  <si>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</si>
  <si>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</si>
  <si>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</si>
  <si>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</si>
  <si>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</si>
  <si>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</si>
  <si>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</si>
  <si>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</si>
  <si>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</si>
  <si>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</si>
  <si>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</si>
  <si>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</si>
  <si>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</si>
  <si>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</si>
  <si>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</si>
  <si>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</si>
  <si>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</si>
  <si>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</si>
  <si>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</si>
  <si>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</si>
  <si>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</si>
  <si>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</si>
  <si>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</si>
  <si>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</si>
  <si>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</si>
  <si>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</si>
  <si>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</si>
  <si>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</si>
  <si>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</si>
  <si>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</si>
  <si>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</si>
  <si>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</si>
  <si>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</si>
  <si>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</si>
  <si>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</si>
  <si>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</si>
  <si>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</si>
  <si>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</si>
  <si>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</si>
  <si>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</si>
  <si>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</si>
  <si>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</si>
  <si>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</si>
  <si>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</si>
  <si>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</si>
  <si>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</si>
  <si>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</si>
  <si>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</si>
  <si>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</si>
  <si>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</si>
  <si>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</si>
  <si>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</si>
  <si>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</si>
  <si>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</si>
  <si>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</si>
  <si>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</si>
  <si>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Taxable Income</t>
  </si>
  <si>
    <t>Year</t>
  </si>
  <si>
    <t>Loading &amp; Unloading</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</si>
  <si>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</si>
  <si>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</si>
  <si>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</si>
  <si>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</si>
  <si>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</si>
  <si>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</si>
  <si>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</si>
  <si>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</si>
  <si>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</si>
  <si>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</si>
  <si>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</si>
  <si>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</si>
  <si>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</si>
  <si>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</si>
  <si>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</si>
  <si>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</si>
  <si>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</si>
  <si>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</si>
  <si>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</si>
  <si>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</si>
  <si>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</si>
  <si>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</si>
  <si>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</si>
  <si>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</si>
  <si>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</si>
  <si>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</si>
  <si>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</si>
  <si>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</si>
  <si>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</si>
  <si>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</si>
  <si>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</si>
  <si>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</si>
  <si>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</si>
  <si>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</si>
  <si>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</si>
  <si>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</si>
  <si>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</si>
  <si>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</si>
  <si>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</si>
  <si>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</si>
  <si>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</si>
  <si>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</si>
  <si>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</si>
  <si>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</si>
  <si>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</si>
  <si>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</si>
  <si>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</si>
  <si>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</si>
  <si>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</si>
  <si>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</si>
  <si>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</si>
  <si>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</si>
  <si>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</si>
  <si>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</si>
  <si>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</si>
  <si>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</si>
  <si>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</si>
  <si>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</si>
  <si>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</si>
  <si>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</si>
  <si>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</si>
  <si>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</si>
  <si>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</si>
  <si>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</si>
  <si>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</si>
  <si>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</si>
  <si>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</si>
  <si>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</si>
  <si>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</si>
  <si>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</si>
  <si>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</si>
  <si>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</si>
  <si>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</si>
  <si>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</si>
  <si>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</si>
  <si>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</si>
  <si>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</si>
  <si>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</si>
  <si>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</si>
  <si>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</si>
  <si>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</si>
  <si>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</si>
  <si>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</si>
  <si>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</si>
  <si>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</si>
  <si>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</si>
  <si>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</si>
  <si>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</si>
  <si>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</si>
  <si>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</si>
  <si>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</si>
  <si>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</si>
  <si>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</si>
  <si>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</si>
  <si>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</si>
  <si>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</si>
  <si>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t>
  </si>
  <si>
    <t>Maximum Tax rate</t>
  </si>
  <si>
    <t>Season</t>
  </si>
  <si>
    <t>Crop</t>
  </si>
  <si>
    <t>Kharif</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</si>
  <si>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</si>
  <si>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</si>
  <si>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</si>
  <si>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</si>
  <si>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</si>
  <si>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</si>
  <si>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</si>
  <si>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</si>
  <si>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</si>
  <si>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</si>
  <si>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</si>
  <si>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</si>
  <si>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</si>
  <si>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</si>
  <si>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</si>
  <si>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</si>
  <si>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</si>
  <si>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</si>
  <si>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</si>
  <si>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</si>
  <si>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</si>
  <si>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</si>
  <si>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</si>
  <si>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</si>
  <si>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</si>
  <si>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</si>
  <si>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</si>
  <si>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</si>
  <si>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</si>
  <si>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</si>
  <si>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</si>
  <si>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</si>
  <si>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</si>
  <si>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</si>
  <si>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</si>
  <si>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</si>
  <si>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</si>
  <si>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</si>
  <si>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</si>
  <si>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</si>
  <si>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</si>
  <si>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</si>
  <si>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</si>
  <si>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</si>
  <si>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</si>
  <si>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</si>
  <si>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</si>
  <si>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</si>
  <si>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</si>
  <si>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</si>
  <si>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</si>
  <si>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</si>
  <si>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</si>
  <si>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</si>
  <si>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</si>
  <si>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
  </si>
  <si>
    <t>Transporation Cost/100 Kg</t>
  </si>
  <si>
    <t>Gunny Bags/100 Kg</t>
  </si>
  <si>
    <t>Total Quantity to be Processed</t>
  </si>
  <si>
    <t xml:space="preserve">Grant (%) </t>
  </si>
  <si>
    <t>Grant Amount (Rs.)</t>
  </si>
  <si>
    <t>Loan Amount (Rs)</t>
  </si>
  <si>
    <t>Interest rate /PA</t>
  </si>
  <si>
    <t>Loan Tenure in years</t>
  </si>
  <si>
    <t>Moratorium Period ( In Months)</t>
  </si>
  <si>
    <t>Qtls P Hour</t>
  </si>
  <si>
    <t>Quanity for Processing and Trading for PC</t>
  </si>
  <si>
    <t>Grains</t>
  </si>
  <si>
    <t>Fruit and Vegetables</t>
  </si>
  <si>
    <t>Tentative Wastage Percentage</t>
  </si>
  <si>
    <t>Commodity</t>
  </si>
  <si>
    <t>Percentage</t>
  </si>
  <si>
    <t>Chilli</t>
  </si>
  <si>
    <t>Pomegranate</t>
  </si>
  <si>
    <t>Total No.of Members  Cultivating F &amp; V</t>
  </si>
  <si>
    <t>Total No.of Non-members  Cultivating F &amp; V</t>
  </si>
  <si>
    <t>Fruit  &amp; Vegetables Crop Production Details</t>
  </si>
  <si>
    <t>Area Under Vegetables in Rabbi Season ( In Acres)</t>
  </si>
  <si>
    <t>Area Under Vegetables in Summer Season ( In Acres)</t>
  </si>
  <si>
    <t>Faclitiy 5 - Agri Input Centre</t>
  </si>
  <si>
    <t>Faclitiy 1 - Cleaning &amp; Grading</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</si>
  <si>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</si>
  <si>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</si>
  <si>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</si>
  <si>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</si>
  <si>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</si>
  <si>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</si>
  <si>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</si>
  <si>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</si>
  <si>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</si>
  <si>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</si>
  <si>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</si>
  <si>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Facility 6 - 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</si>
  <si>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</si>
  <si>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</si>
  <si>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</si>
  <si>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</si>
  <si>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</si>
  <si>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</si>
  <si>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</si>
  <si>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</si>
  <si>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</si>
  <si>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</si>
  <si>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</si>
  <si>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</si>
  <si>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</si>
  <si>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</si>
  <si>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</si>
  <si>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</si>
  <si>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</si>
  <si>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</si>
  <si>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</si>
  <si>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</si>
  <si>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</si>
  <si>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</si>
  <si>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</si>
  <si>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</si>
  <si>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</si>
  <si>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</si>
  <si>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</si>
  <si>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</si>
  <si>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</si>
  <si>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</si>
  <si>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</si>
  <si>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</si>
  <si>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</si>
  <si>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</si>
  <si>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</si>
  <si>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</si>
  <si>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</si>
  <si>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</si>
  <si>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</si>
  <si>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</si>
  <si>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</si>
  <si>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</si>
  <si>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</si>
  <si>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</si>
  <si>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</si>
  <si>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</si>
  <si>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</si>
  <si>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</si>
  <si>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</si>
  <si>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</si>
  <si>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</si>
  <si>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</si>
  <si>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</si>
  <si>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</si>
  <si>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</si>
  <si>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</si>
  <si>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</si>
  <si>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</si>
  <si>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</si>
  <si>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</si>
  <si>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</si>
  <si>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</si>
  <si>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</si>
  <si>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</si>
  <si>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</si>
  <si>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</si>
  <si>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</si>
  <si>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</si>
  <si>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</si>
  <si>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</si>
  <si>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</si>
  <si>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</si>
  <si>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</si>
  <si>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</si>
  <si>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</si>
  <si>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</si>
  <si>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</si>
  <si>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</si>
  <si>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</si>
  <si>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</si>
  <si>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</si>
  <si>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</si>
  <si>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</si>
  <si>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</si>
  <si>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</si>
  <si>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</si>
  <si>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</si>
  <si>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</si>
  <si>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</si>
  <si>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</si>
  <si>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</si>
  <si>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</si>
  <si>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</si>
  <si>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</si>
  <si>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</si>
  <si>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</si>
  <si>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</si>
  <si>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</si>
  <si>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</si>
  <si>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</si>
  <si>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</si>
  <si>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</si>
  <si>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</si>
  <si>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</si>
  <si>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</si>
  <si>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</si>
  <si>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</si>
  <si>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</si>
  <si>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</si>
  <si>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</si>
  <si>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</si>
  <si>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</si>
  <si>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</si>
  <si>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</si>
  <si>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</si>
  <si>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</si>
  <si>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</si>
  <si>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</si>
  <si>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</si>
  <si>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</si>
  <si>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</si>
  <si>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</si>
  <si>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</si>
  <si>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</si>
  <si>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</si>
  <si>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</si>
  <si>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</si>
  <si>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</si>
  <si>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</si>
  <si>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</si>
  <si>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</si>
  <si>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</si>
  <si>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</si>
  <si>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</si>
  <si>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</si>
  <si>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</si>
  <si>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</si>
  <si>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</si>
  <si>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</si>
  <si>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</si>
  <si>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</si>
  <si>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</si>
  <si>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</si>
  <si>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</si>
  <si>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</si>
  <si>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</si>
  <si>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</si>
  <si>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</si>
  <si>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</si>
  <si>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</si>
  <si>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Capacity Utilization (JW Services)</t>
  </si>
  <si>
    <t>Capacity Utilization (Captive Operations)</t>
  </si>
  <si>
    <t>Job work Services</t>
  </si>
  <si>
    <t>Total JW Receipts (Rs. Lakh)</t>
  </si>
  <si>
    <t>Captive Operations</t>
  </si>
  <si>
    <t>Grade 1</t>
  </si>
  <si>
    <t>Grade 2</t>
  </si>
  <si>
    <t>No of days of opertaion (JW Services)</t>
  </si>
  <si>
    <t>Okra</t>
  </si>
  <si>
    <t>Tomato</t>
  </si>
  <si>
    <t>Bitter Gourd</t>
  </si>
  <si>
    <t>Average Land Holding per member(Ha)</t>
  </si>
  <si>
    <t>Total Cultivated Land Under F &amp; V (Ha)</t>
  </si>
  <si>
    <t>Total Land under Cultivaion ( In Ha)</t>
  </si>
  <si>
    <t>Total Annual Plant Capacity (MT)</t>
  </si>
  <si>
    <t xml:space="preserve">Job work Charges- Rs/MT </t>
  </si>
  <si>
    <t>Total Input -Chilli (MT)</t>
  </si>
  <si>
    <t>Animal Feed</t>
  </si>
  <si>
    <t>Waste</t>
  </si>
  <si>
    <t>Captive Operations Grade Output -Chilli(MT)</t>
  </si>
  <si>
    <t>Green Chilli</t>
  </si>
  <si>
    <t>Red Chilli</t>
  </si>
  <si>
    <t>Total Working days of the Facilty</t>
  </si>
  <si>
    <t>Y8</t>
  </si>
  <si>
    <t>Y9</t>
  </si>
  <si>
    <t>Y10</t>
  </si>
  <si>
    <t>#</t>
  </si>
  <si>
    <t>Rate (per MT)</t>
  </si>
  <si>
    <t>Sales (in Rs. Lakh)</t>
  </si>
  <si>
    <t>Bitter Guard</t>
  </si>
  <si>
    <t>Total Sales</t>
  </si>
  <si>
    <t>Opn Stock</t>
  </si>
  <si>
    <t>Total Production</t>
  </si>
  <si>
    <t>Sales</t>
  </si>
  <si>
    <t>Selling Price (Rs/MT)</t>
  </si>
  <si>
    <t>Value of Opening Stock (Rs. Lakh)</t>
  </si>
  <si>
    <t>Value of Closing Stock (Rs. Lakh)</t>
  </si>
  <si>
    <t>All Products</t>
  </si>
  <si>
    <t>Finished Good StocK</t>
  </si>
  <si>
    <t>Selling Schedule</t>
  </si>
  <si>
    <t>Details of Cold Storage Income</t>
  </si>
  <si>
    <t>Capacity of Cold Storage in MT per month</t>
  </si>
  <si>
    <t>Avg. storage period per cycle (days)</t>
  </si>
  <si>
    <t>No of Months</t>
  </si>
  <si>
    <t>Total Throughput Capacity (MT)</t>
  </si>
  <si>
    <t>Receipts :-</t>
  </si>
  <si>
    <t>Receipts @ 100% CU</t>
  </si>
  <si>
    <t>Qty stored (MT)</t>
  </si>
  <si>
    <t>Qty utilised for captive operations (MT)</t>
  </si>
  <si>
    <t>Qty available for renting out (MT)</t>
  </si>
  <si>
    <t>Cold Storage Rent Receipts</t>
  </si>
  <si>
    <t>Rent Per MT per month(in Rs.)</t>
  </si>
  <si>
    <t>Capative Operation</t>
  </si>
  <si>
    <t>-</t>
  </si>
  <si>
    <t>As per Schedule</t>
  </si>
  <si>
    <t>MT/MONTH</t>
  </si>
  <si>
    <t>Office &amp; Admin</t>
  </si>
  <si>
    <t>Printing &amp; Stationery</t>
  </si>
  <si>
    <t>2000 p.m.</t>
  </si>
  <si>
    <t>Telephone</t>
  </si>
  <si>
    <t>1000 p.m.</t>
  </si>
  <si>
    <t>Rent for Land</t>
  </si>
  <si>
    <t xml:space="preserve">3000 p.a. </t>
  </si>
  <si>
    <t>Internet &amp; Broadband</t>
  </si>
  <si>
    <t xml:space="preserve">1250 p.m. </t>
  </si>
  <si>
    <t>Office Electricity</t>
  </si>
  <si>
    <t>5 KVA (Power chart)</t>
  </si>
  <si>
    <t>Accounting Charges</t>
  </si>
  <si>
    <t>3000 p.m.</t>
  </si>
  <si>
    <t>Legal Expenses</t>
  </si>
  <si>
    <t>Admin Staff Salary</t>
  </si>
  <si>
    <t>Admin Manpower Chart</t>
  </si>
  <si>
    <t>Conveyance</t>
  </si>
  <si>
    <t>5000 p.m.</t>
  </si>
  <si>
    <t>Travelling Expenses</t>
  </si>
  <si>
    <t xml:space="preserve">Perodicals </t>
  </si>
  <si>
    <t xml:space="preserve">1000 p.m. </t>
  </si>
  <si>
    <t>Staff Welfare</t>
  </si>
  <si>
    <t>10% of Staff Salaries</t>
  </si>
  <si>
    <t>Total (Office and Admin Fixed Exp)</t>
  </si>
  <si>
    <t>Factory Exp (Fixed)</t>
  </si>
  <si>
    <t>Repairs</t>
  </si>
  <si>
    <t>1% of machine cost &amp; civil works</t>
  </si>
  <si>
    <t>Insurance</t>
  </si>
  <si>
    <t>0.5% of the Capital Investment</t>
  </si>
  <si>
    <t>Factory Staff Salary</t>
  </si>
  <si>
    <t>Factory Staff Manpower Chart</t>
  </si>
  <si>
    <t>Electricity</t>
  </si>
  <si>
    <t>Basis</t>
  </si>
  <si>
    <t>Preliminary Exp</t>
  </si>
  <si>
    <t xml:space="preserve"> </t>
  </si>
  <si>
    <t>Debtors</t>
  </si>
  <si>
    <t>Stock</t>
  </si>
  <si>
    <t>Creditors</t>
  </si>
  <si>
    <t>(1+2-3)</t>
  </si>
  <si>
    <t>Total Working Capital Requirement</t>
  </si>
  <si>
    <t>W.C Margin</t>
  </si>
  <si>
    <t>W.C Loan (unsecured loan from Directors)</t>
  </si>
  <si>
    <t>Job work Charges</t>
  </si>
  <si>
    <t>Cold Storage Rent Receipt</t>
  </si>
  <si>
    <t xml:space="preserve">Add: Opening Stock RM </t>
  </si>
  <si>
    <t>Less: Closing Stock RM</t>
  </si>
  <si>
    <t>Rate (Rs. per MT)</t>
  </si>
  <si>
    <t>Purchase Valule (Rs. In Lakh)</t>
  </si>
  <si>
    <t>Purchases (Rs. In Lakh)</t>
  </si>
  <si>
    <t>Purchase Schedule</t>
  </si>
  <si>
    <t>Raw Material (MT)</t>
  </si>
  <si>
    <t xml:space="preserve">Purchase </t>
  </si>
  <si>
    <t>Consumed</t>
  </si>
  <si>
    <t>Closing stock</t>
  </si>
  <si>
    <t>Prices (per MT)</t>
  </si>
  <si>
    <t>Mandi Price</t>
  </si>
  <si>
    <t>Value of Opening Stock</t>
  </si>
  <si>
    <t>Value of Closing stock</t>
  </si>
  <si>
    <t>Closing stock - RM</t>
  </si>
  <si>
    <t>Purchase Cost</t>
  </si>
  <si>
    <t>As per Purchase Schedule</t>
  </si>
  <si>
    <t>Add: Opening Stock FG</t>
  </si>
  <si>
    <t>Less: Closing Stock FG</t>
  </si>
  <si>
    <t>As per CS Sche</t>
  </si>
  <si>
    <t>Manpower Chart</t>
  </si>
  <si>
    <t>S.No.</t>
  </si>
  <si>
    <t>Dept.</t>
  </si>
  <si>
    <t>Monthly Salary</t>
  </si>
  <si>
    <t>Annual Income</t>
  </si>
  <si>
    <t>CEO</t>
  </si>
  <si>
    <t>Admin</t>
  </si>
  <si>
    <t>M</t>
  </si>
  <si>
    <t>Accounts Head</t>
  </si>
  <si>
    <t>F</t>
  </si>
  <si>
    <t>Marketing and Business Development Head</t>
  </si>
  <si>
    <t>Market BD Exec</t>
  </si>
  <si>
    <t>Admin Staff</t>
  </si>
  <si>
    <t>Security Staff</t>
  </si>
  <si>
    <t>Factory Head*</t>
  </si>
  <si>
    <t>factory</t>
  </si>
  <si>
    <t>Product and Quality Assurance Manager</t>
  </si>
  <si>
    <t>Plant Operators</t>
  </si>
  <si>
    <t>1M/1F</t>
  </si>
  <si>
    <t>Weigh Bridge Operator</t>
  </si>
  <si>
    <t>Farm Implements Helpers</t>
  </si>
  <si>
    <t>Maintenance Engineer</t>
  </si>
  <si>
    <t>Cold Store supervisor</t>
  </si>
  <si>
    <t>Helpers</t>
  </si>
  <si>
    <t>300/day</t>
  </si>
  <si>
    <t>Variable with production</t>
  </si>
  <si>
    <t>300 / Labour/ day</t>
  </si>
  <si>
    <t>Power Calc. (Fixed)</t>
  </si>
  <si>
    <t>Power Calc. (Variable)</t>
  </si>
  <si>
    <t>Power Chart</t>
  </si>
  <si>
    <t>Water</t>
  </si>
  <si>
    <t>Stocks of Safety Gear (gloves, shoes, disinfectants, etc)</t>
  </si>
  <si>
    <t xml:space="preserve">Transportation Expenses </t>
  </si>
  <si>
    <t>Repairs &amp; Maintainence</t>
  </si>
  <si>
    <t>Selling &amp; Dist Exp</t>
  </si>
  <si>
    <t>Misc Exp</t>
  </si>
  <si>
    <t>Per Labour</t>
  </si>
  <si>
    <t>Per MT</t>
  </si>
  <si>
    <t>Per day</t>
  </si>
  <si>
    <t>As per Manpower Chart</t>
  </si>
  <si>
    <t>Fixed Cost - Related to Production</t>
  </si>
  <si>
    <t>Working Files</t>
  </si>
  <si>
    <t>Less Opening Stock FG</t>
  </si>
  <si>
    <t>Add Closing Stock FG</t>
  </si>
  <si>
    <t>Days</t>
  </si>
  <si>
    <t>15 Days As per CS Schedule</t>
  </si>
  <si>
    <t>5.1 Closing and Opening Stock Calculation (FINISHED GOOD AND RAW MATERIAL)</t>
  </si>
  <si>
    <t>Working Capital Loan
( Unsecured Loan From Director @ 9%)</t>
  </si>
  <si>
    <t>Interest on Working Capital @ 9%</t>
  </si>
  <si>
    <t xml:space="preserve">Closing Stock </t>
  </si>
  <si>
    <t>Changes In FG Closing Stock</t>
  </si>
  <si>
    <t>Yield/Ha(In MT)</t>
  </si>
  <si>
    <t>Total Production (In MT)</t>
  </si>
  <si>
    <t>Marketable Surplus ( In MT)</t>
  </si>
  <si>
    <t>Increase/(Decrease) in CL</t>
  </si>
  <si>
    <t>(Increase)/Decrease in CA</t>
  </si>
  <si>
    <t>Company has to give credit for sale at 30 Days</t>
  </si>
  <si>
    <t>Company will receive credit from suppliers for 15 days</t>
  </si>
  <si>
    <t>25 % of Working Capital will be financed by the company and balance 75% from bank finance at 9% rate of interest</t>
  </si>
  <si>
    <t>Vegetable Cleaning &amp; Grading &amp; Cold Storage</t>
  </si>
  <si>
    <t>Working Model</t>
  </si>
  <si>
    <t>Job Work Services</t>
  </si>
  <si>
    <t>60% capacity reserved</t>
  </si>
  <si>
    <t>Capitive Operations</t>
  </si>
  <si>
    <t>40% capacity reserved</t>
  </si>
  <si>
    <t>Bldg</t>
  </si>
  <si>
    <t>P&amp;M and MFA</t>
  </si>
  <si>
    <t>Capacity of Plant- Cleaning &amp; Gradding</t>
  </si>
  <si>
    <t>Capacity Utilization</t>
  </si>
  <si>
    <t>JW Services</t>
  </si>
  <si>
    <t>Closing Stock- Raw Material</t>
  </si>
  <si>
    <t>1 days</t>
  </si>
  <si>
    <t>15 days</t>
  </si>
  <si>
    <t>Advances to Suppliers</t>
  </si>
  <si>
    <t>0 days</t>
  </si>
  <si>
    <t>Purchase Price (in Rs. Per MT)</t>
  </si>
  <si>
    <t xml:space="preserve">Job Work Charges </t>
  </si>
  <si>
    <t>Vegetable Cleaning &amp; Grading (in Rs. Per MT)</t>
  </si>
  <si>
    <t xml:space="preserve">Inflation assumed </t>
  </si>
  <si>
    <t>5% p.a.</t>
  </si>
  <si>
    <t>Sales Price (in Rs. Per MT)</t>
  </si>
  <si>
    <t>Loan Interest Rate</t>
  </si>
  <si>
    <t>Term Loan Tenure (inc. Moratorium of 12 months)</t>
  </si>
  <si>
    <t>Income Tax calc.</t>
  </si>
  <si>
    <t>Current Liability</t>
  </si>
  <si>
    <t>Sundry Debtors</t>
  </si>
  <si>
    <t>Bran</t>
  </si>
  <si>
    <t>Jari</t>
  </si>
  <si>
    <t>Total Input</t>
  </si>
  <si>
    <t>Capative Mix</t>
  </si>
  <si>
    <t>30 days</t>
  </si>
  <si>
    <t>Name</t>
  </si>
  <si>
    <t>Finished Goods  -Chilli(MT)</t>
  </si>
  <si>
    <t>Cold Storage Revenue</t>
  </si>
  <si>
    <t>Weigh Bridge Revenue Schedule</t>
  </si>
  <si>
    <t>Trucks Weighed per day</t>
  </si>
  <si>
    <t>No. of days of operation</t>
  </si>
  <si>
    <t>Charges per vehicle</t>
  </si>
  <si>
    <t>Tractors Weighed per day</t>
  </si>
  <si>
    <t xml:space="preserve">Total Revenue </t>
  </si>
  <si>
    <t>Weigh Bridge Charges</t>
  </si>
  <si>
    <t>Total expected Receipts @ 100% CU in Rs Lakh</t>
  </si>
  <si>
    <t>Gross Revenue</t>
  </si>
  <si>
    <t>Curliflower</t>
  </si>
  <si>
    <t>Capacity of Warehouse in MT per month</t>
  </si>
  <si>
    <t>Warehouse Storage Receipt</t>
  </si>
  <si>
    <t>Closing Stock- Finished Goods</t>
  </si>
  <si>
    <t>Pomegranate Arils</t>
  </si>
  <si>
    <t>Pomegranate Juice</t>
  </si>
  <si>
    <t>Pomegranate Powder</t>
  </si>
  <si>
    <t>Pomegranate Arils 1 Kg</t>
  </si>
  <si>
    <t>Pomegranate Juice 1 Ltrs</t>
  </si>
  <si>
    <t>Pomegranate Peel Powder1 Kg</t>
  </si>
  <si>
    <t>Quiantals</t>
  </si>
  <si>
    <t>Ltrs</t>
  </si>
  <si>
    <t>Pomegatnte</t>
  </si>
  <si>
    <t>Other Consumbales</t>
  </si>
  <si>
    <t xml:space="preserve">Horticulture  Processing </t>
  </si>
  <si>
    <t>15days</t>
  </si>
  <si>
    <t xml:space="preserve">Output retained </t>
  </si>
  <si>
    <t>Flax oil cake</t>
  </si>
  <si>
    <t>Safflower oil cake</t>
  </si>
  <si>
    <t>Mustered oil cake</t>
  </si>
  <si>
    <t>Profit after Appropriation</t>
  </si>
  <si>
    <t>Investment</t>
  </si>
  <si>
    <t>And as per Article of association of  farmer producer company shall set  aside certain amount of profits as may be decided by the Board as General Reserve, which shall be applied in the manner as may be from time to time decided by the Board.</t>
  </si>
  <si>
    <r>
      <rPr>
        <b/>
        <i/>
        <sz val="15"/>
        <color theme="1"/>
        <rFont val="Calibri"/>
        <family val="2"/>
        <scheme val="minor"/>
      </rPr>
      <t xml:space="preserve">Note : </t>
    </r>
    <r>
      <rPr>
        <b/>
        <i/>
        <sz val="11"/>
        <color theme="1"/>
        <rFont val="Calibri"/>
        <family val="2"/>
        <scheme val="minor"/>
      </rPr>
      <t xml:space="preserve">As per Section 581ZI(1)  of Companies Act, 1956 - General Reserve and surplus- Every Producer Company shall maintain a general reserve in every financial year, in addition to any reserve maintained by it as may be specified in articles. </t>
    </r>
  </si>
  <si>
    <t>3 TPH</t>
  </si>
  <si>
    <t>Total Input (Chana) (MT)</t>
  </si>
  <si>
    <t>Captive Operations Grade Output (Chana)(MT)</t>
  </si>
  <si>
    <t>Chana</t>
  </si>
  <si>
    <t>Total Input -Udad (MT)</t>
  </si>
  <si>
    <t>Captive Operations Grade Output (Udad)(MT)</t>
  </si>
  <si>
    <t>Total Input -Tur (MT)</t>
  </si>
  <si>
    <t>Captive Operations Grade Output -Tur(MT)</t>
  </si>
  <si>
    <t>Finished Goods -Tur(MT)</t>
  </si>
  <si>
    <t>Tur</t>
  </si>
  <si>
    <t>Mini Dal Mill Capacity</t>
  </si>
  <si>
    <t>Grade I</t>
  </si>
  <si>
    <t>Grade II</t>
  </si>
  <si>
    <t>Udad</t>
  </si>
  <si>
    <t>Finished Goods  -Chana (MT)</t>
  </si>
  <si>
    <t>Finished Goods  -Musterd (MT)</t>
  </si>
  <si>
    <t>Chana Dal</t>
  </si>
  <si>
    <t>Udad Dal</t>
  </si>
  <si>
    <t>Tur Dal</t>
  </si>
  <si>
    <t>Finished Goods  -Chana Dal (MT)</t>
  </si>
  <si>
    <t>Finished Goods  -Udad Dal(MT)</t>
  </si>
  <si>
    <t>Finished Goods  -Tur Dal(MT)</t>
  </si>
  <si>
    <t>48 months (4 years)</t>
  </si>
  <si>
    <t>Grains Grading processed per day (MT)</t>
  </si>
  <si>
    <t>Captive Operations Grade Output -Grade II Chana(MT)</t>
  </si>
  <si>
    <t>Captive Operations Grade Output -Grade II Udad(MT)</t>
  </si>
  <si>
    <t>Captive Operations Grade Output -Grade II Tur(MT)</t>
  </si>
  <si>
    <t>Husk/ Cattle Feed</t>
  </si>
  <si>
    <t>Captive Operations ( Cleaning &amp; Grading)</t>
  </si>
  <si>
    <t>Facility 2 - Grain Processing Unit - Seed Processing Plant</t>
  </si>
  <si>
    <t>Total Input (Chana/ Soyabean/Tur) (MT)</t>
  </si>
  <si>
    <t>Total Input (Soyabean) (MT)</t>
  </si>
  <si>
    <t>Captive Operations Grade Output (Soyabean)(MT)</t>
  </si>
  <si>
    <t>Captive Operations Grade Output - Grade II Soyabean(MT)</t>
  </si>
  <si>
    <t>Soyabean Dal</t>
  </si>
  <si>
    <t>Finished Goods Soyabean (MT)</t>
  </si>
  <si>
    <t>Finished Goods  -Soyabean Dal (MT)</t>
  </si>
  <si>
    <t>Soyabean</t>
  </si>
  <si>
    <t>Germination Charges</t>
  </si>
  <si>
    <t>2 TPH</t>
  </si>
  <si>
    <t>Transformer</t>
  </si>
  <si>
    <t>10.3 Quantity of Marketable Surplus Produce Considered for Trading Business ( Job Work)</t>
  </si>
  <si>
    <t>Rabi</t>
  </si>
  <si>
    <t>No of days of opertaion (Captive Operations)</t>
  </si>
  <si>
    <t>Faclitiy 2 - Processing Unit- Cleaning Grading Plant</t>
  </si>
  <si>
    <t>C/f Loss</t>
  </si>
  <si>
    <t>Cleaning Grading Unit</t>
  </si>
  <si>
    <t>Weighbridge Receipt</t>
  </si>
  <si>
    <t>Godown</t>
  </si>
  <si>
    <t>Machine Shed</t>
  </si>
  <si>
    <t>SQ MT</t>
  </si>
  <si>
    <t>Cleaning Grading Machine</t>
  </si>
  <si>
    <t xml:space="preserve">Weighbridge </t>
  </si>
  <si>
    <t>Processing Unit - Cleaning Grading</t>
  </si>
  <si>
    <t>4 TPH</t>
  </si>
  <si>
    <t>Grain  Processing Machainary</t>
  </si>
  <si>
    <t>4TPH</t>
  </si>
  <si>
    <t>200KVA</t>
  </si>
  <si>
    <t>Packing Machine</t>
  </si>
  <si>
    <t>1-15 kg</t>
  </si>
  <si>
    <t>60 MT</t>
  </si>
  <si>
    <t>25 KVA power Chart</t>
  </si>
  <si>
    <t>Transfer to Investment reserve</t>
  </si>
  <si>
    <t>70% reserved for JW Services</t>
  </si>
  <si>
    <t>30% reserved for Captive operations</t>
  </si>
  <si>
    <t>13.2 Activity 2 - Profit and loss of Grain Processing Unit</t>
  </si>
  <si>
    <t>Onion</t>
  </si>
  <si>
    <t>Potato</t>
  </si>
  <si>
    <t>Brinjal</t>
  </si>
  <si>
    <t>Custard Apple</t>
  </si>
  <si>
    <t>Guava</t>
  </si>
  <si>
    <t>Citrus</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</si>
</sst>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00_);_(* \(#,##0.00\);_(* &quot;-&quot;??_);_(@_)"/>
    <numFmt numFmtId="165" formatCode="_-&quot;£&quot;* #,##0.00_-;\-&quot;£&quot;* #,##0.00_-;_-&quot;£&quot;* &quot;-&quot;??_-;_-@_-"/>
    <numFmt numFmtId="166" formatCode="_-* #,##0.00_-;\-* #,##0.00_-;_-* &quot;-&quot;??_-;_-@_-"/>
    <numFmt numFmtId="167" formatCode="&quot;Rs.&quot;\ #,##0.00;[Red]&quot;Rs.&quot;\ \-#,##0.00"/>
    <numFmt numFmtId="168" formatCode="_-* #,##0_-;\-* #,##0_-;_-* &quot;-&quot;??_-;_-@_-"/>
    <numFmt numFmtId="169" formatCode="_-&quot;Rs.&quot;* #,##0.00_-;\-&quot;Rs.&quot;* #,##0.00_-;_-&quot;Rs.&quot;* &quot;-&quot;??_-;_-@_-"/>
    <numFmt numFmtId="170" formatCode="_(* #,##0_);_(* \(#,##0\);_(* &quot;-&quot;??_);_(@_)"/>
    <numFmt numFmtId="171" formatCode="0.0%"/>
    <numFmt numFmtId="172" formatCode="_ * #,##0_ ;_ * \-#,##0_ ;_ * &quot;-&quot;??_ ;_ @_ "/>
    <numFmt numFmtId="173" formatCode="#,##0.00_ ;[Red]\-#,##0.00\ "/>
    <numFmt numFmtId="174" formatCode="_(* #,##0.0000_);_(* \(#,##0.0000\);_(* &quot;-&quot;??_);_(@_)"/>
    <numFmt numFmtId="175" formatCode="_ * #,##0.0_ ;_ * \-#,##0.0_ ;_ * &quot;-&quot;??_ ;_ @_ "/>
    <numFmt numFmtId="176" formatCode="0.0"/>
  </numFmts>
  <fonts count="8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11"/>
      <color rgb="FF7030A0"/>
      <name val="Garamond"/>
      <family val="1"/>
    </font>
    <font>
      <sz val="11"/>
      <color theme="1"/>
      <name val="Garamond"/>
      <family val="1"/>
    </font>
    <font>
      <b/>
      <sz val="11"/>
      <color theme="1"/>
      <name val="Garamond"/>
      <family val="1"/>
    </font>
    <font>
      <b/>
      <sz val="11"/>
      <color theme="0"/>
      <name val="Garamond"/>
      <family val="1"/>
    </font>
    <font>
      <sz val="11"/>
      <name val="Garamond"/>
      <family val="1"/>
    </font>
    <font>
      <sz val="11"/>
      <color theme="0"/>
      <name val="Garamond"/>
      <family val="1"/>
    </font>
    <font>
      <b/>
      <sz val="11"/>
      <color theme="1" tint="4.9989318521683403E-2"/>
      <name val="Garamond"/>
      <family val="1"/>
    </font>
    <font>
      <b/>
      <sz val="12"/>
      <color theme="0"/>
      <name val="Garamond"/>
      <family val="1"/>
    </font>
    <font>
      <b/>
      <sz val="10"/>
      <color rgb="FF7030A0"/>
      <name val="Garamond"/>
      <family val="1"/>
    </font>
    <font>
      <sz val="10"/>
      <name val="Garamond"/>
      <family val="1"/>
    </font>
    <font>
      <b/>
      <sz val="10"/>
      <name val="Garamond"/>
      <family val="1"/>
    </font>
    <font>
      <b/>
      <sz val="10"/>
      <color theme="0"/>
      <name val="Garamond"/>
      <family val="1"/>
    </font>
    <font>
      <sz val="11"/>
      <color theme="1"/>
      <name val="Arial"/>
      <family val="2"/>
    </font>
    <font>
      <b/>
      <sz val="22"/>
      <color theme="0"/>
      <name val="Times New Roman"/>
      <family val="1"/>
    </font>
    <font>
      <b/>
      <sz val="22"/>
      <color theme="0"/>
      <name val="Calibri"/>
      <family val="2"/>
      <scheme val="minor"/>
    </font>
    <font>
      <b/>
      <sz val="20"/>
      <color theme="0"/>
      <name val="Calibri"/>
      <family val="2"/>
      <scheme val="minor"/>
    </font>
    <font>
      <b/>
      <sz val="14"/>
      <color theme="0"/>
      <name val="Calibri"/>
      <family val="2"/>
      <scheme val="minor"/>
    </font>
    <font>
      <b/>
      <sz val="15"/>
      <color theme="1"/>
      <name val="Verdana"/>
      <family val="2"/>
    </font>
    <font>
      <b/>
      <i/>
      <sz val="11"/>
      <color theme="1"/>
      <name val="Calibri"/>
      <family val="2"/>
      <scheme val="minor"/>
    </font>
    <font>
      <b/>
      <i/>
      <sz val="15"/>
      <color theme="1"/>
      <name val="Calibri"/>
      <family val="2"/>
      <scheme val="minor"/>
    </font>
    <font>
      <i/>
      <sz val="11"/>
      <color theme="1"/>
      <name val="Calibri"/>
      <family val="2"/>
      <scheme val="minor"/>
    </font>
  </fonts>
  <fills count="18">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rgb="FF7030A0"/>
        <bgColor indexed="64"/>
      </patternFill>
    </fill>
    <fill>
      <patternFill patternType="solid">
        <fgColor rgb="FF00B0F0"/>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C0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9"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65" fontId="1" fillId="0" borderId="0" applyFont="0" applyFill="0" applyBorder="0" applyAlignment="0" applyProtection="0"/>
    <xf numFmtId="43" fontId="18" fillId="0" borderId="0" applyFont="0" applyFill="0" applyBorder="0" applyAlignment="0" applyProtection="0"/>
  </cellStyleXfs>
  <cellXfs count="749">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8" fontId="13" fillId="0" borderId="1" xfId="3" applyNumberFormat="1" applyFont="1" applyBorder="1" applyAlignment="1">
      <alignment horizontal="right" vertical="center" wrapText="1"/>
    </xf>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0" fontId="2" fillId="0" borderId="0" xfId="0" applyFont="1" applyFill="1"/>
    <xf numFmtId="0" fontId="14" fillId="0" borderId="0" xfId="0" applyFont="1" applyFill="1" applyBorder="1"/>
    <xf numFmtId="43" fontId="0" fillId="0" borderId="0" xfId="0" applyNumberFormat="1"/>
    <xf numFmtId="0" fontId="2" fillId="0" borderId="0" xfId="0" applyFont="1" applyAlignment="1">
      <alignment horizontal="center"/>
    </xf>
    <xf numFmtId="0" fontId="2" fillId="0" borderId="0" xfId="0" applyFont="1" applyAlignment="1">
      <alignment horizontal="center"/>
    </xf>
    <xf numFmtId="168"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173" fontId="14" fillId="0" borderId="0" xfId="9" applyNumberFormat="1" applyFont="1" applyFill="1" applyBorder="1" applyAlignment="1">
      <alignment vertical="center"/>
    </xf>
    <xf numFmtId="168" fontId="17" fillId="0" borderId="0" xfId="3" applyNumberFormat="1" applyFont="1" applyFill="1" applyBorder="1"/>
    <xf numFmtId="0" fontId="6" fillId="0" borderId="1" xfId="0" applyFont="1" applyFill="1" applyBorder="1" applyAlignment="1">
      <alignment wrapText="1"/>
    </xf>
    <xf numFmtId="170" fontId="4" fillId="0" borderId="1" xfId="3" applyNumberFormat="1" applyFont="1" applyFill="1" applyBorder="1" applyAlignment="1">
      <alignment wrapText="1"/>
    </xf>
    <xf numFmtId="0" fontId="4" fillId="0" borderId="1" xfId="0" applyFont="1" applyFill="1" applyBorder="1" applyAlignment="1">
      <alignment horizontal="lef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11" fillId="2" borderId="1" xfId="0" applyFont="1" applyFill="1" applyBorder="1" applyAlignment="1">
      <alignment horizontal="center" vertical="center" wrapText="1"/>
    </xf>
    <xf numFmtId="0" fontId="2" fillId="0" borderId="0" xfId="0" applyFont="1" applyAlignment="1">
      <alignment horizontal="center"/>
    </xf>
    <xf numFmtId="2" fontId="2" fillId="0" borderId="0" xfId="0" applyNumberFormat="1" applyFont="1"/>
    <xf numFmtId="0" fontId="17" fillId="0" borderId="0" xfId="0" applyFont="1"/>
    <xf numFmtId="168" fontId="14" fillId="0" borderId="0" xfId="0" applyNumberFormat="1" applyFont="1"/>
    <xf numFmtId="170"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0" fontId="23" fillId="5" borderId="1" xfId="0" applyFont="1" applyFill="1" applyBorder="1" applyAlignment="1">
      <alignment horizontal="center"/>
    </xf>
    <xf numFmtId="0" fontId="4" fillId="0" borderId="1" xfId="0" applyFont="1" applyFill="1" applyBorder="1"/>
    <xf numFmtId="43" fontId="4" fillId="0" borderId="1" xfId="10" applyFont="1" applyFill="1" applyBorder="1"/>
    <xf numFmtId="172" fontId="4" fillId="0" borderId="1" xfId="10" applyNumberFormat="1" applyFont="1" applyFill="1" applyBorder="1"/>
    <xf numFmtId="0" fontId="6" fillId="0" borderId="1" xfId="0" applyFont="1" applyFill="1" applyBorder="1"/>
    <xf numFmtId="164" fontId="6" fillId="0" borderId="1" xfId="10" applyNumberFormat="1" applyFont="1" applyFill="1" applyBorder="1"/>
    <xf numFmtId="0" fontId="4" fillId="0" borderId="0" xfId="0" applyFont="1" applyFill="1"/>
    <xf numFmtId="172" fontId="4" fillId="0" borderId="0" xfId="10" applyNumberFormat="1" applyFont="1" applyFill="1"/>
    <xf numFmtId="175"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4" fontId="4" fillId="0" borderId="1" xfId="2" applyNumberFormat="1" applyFont="1" applyBorder="1"/>
    <xf numFmtId="0" fontId="27" fillId="0" borderId="0" xfId="0" applyFont="1"/>
    <xf numFmtId="0" fontId="27" fillId="0" borderId="1" xfId="0" applyFont="1" applyBorder="1"/>
    <xf numFmtId="170" fontId="27" fillId="0" borderId="1" xfId="2" applyNumberFormat="1" applyFont="1" applyBorder="1"/>
    <xf numFmtId="0" fontId="28" fillId="0" borderId="1" xfId="0" applyFont="1" applyBorder="1"/>
    <xf numFmtId="170" fontId="28" fillId="0" borderId="1" xfId="0" applyNumberFormat="1" applyFont="1" applyBorder="1"/>
    <xf numFmtId="0" fontId="27" fillId="0" borderId="1" xfId="0" applyFont="1" applyFill="1" applyBorder="1"/>
    <xf numFmtId="170"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70" fontId="27" fillId="0" borderId="0" xfId="2" applyNumberFormat="1" applyFont="1"/>
    <xf numFmtId="0" fontId="24" fillId="5" borderId="1" xfId="0" applyFont="1" applyFill="1" applyBorder="1"/>
    <xf numFmtId="9" fontId="27" fillId="0" borderId="1" xfId="1" applyFont="1" applyBorder="1"/>
    <xf numFmtId="170" fontId="28" fillId="0" borderId="1" xfId="2" applyNumberFormat="1" applyFont="1" applyBorder="1"/>
    <xf numFmtId="0" fontId="28" fillId="0" borderId="0" xfId="0"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0" fontId="29" fillId="0" borderId="5" xfId="0" applyFont="1" applyFill="1" applyBorder="1" applyAlignment="1">
      <alignment horizontal="left" vertical="center" indent="1"/>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0" fontId="6" fillId="0" borderId="5" xfId="0"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0" fontId="21" fillId="5" borderId="1" xfId="0" applyFont="1" applyFill="1" applyBorder="1" applyAlignment="1">
      <alignment vertical="center"/>
    </xf>
    <xf numFmtId="0" fontId="21" fillId="5" borderId="1" xfId="0" applyFont="1" applyFill="1" applyBorder="1" applyAlignment="1">
      <alignment horizontal="center" vertical="center"/>
    </xf>
    <xf numFmtId="0" fontId="30" fillId="0" borderId="1" xfId="0" applyFont="1" applyBorder="1" applyAlignment="1">
      <alignment vertical="center"/>
    </xf>
    <xf numFmtId="0" fontId="30" fillId="0" borderId="1" xfId="0" applyFont="1" applyBorder="1" applyAlignment="1">
      <alignment horizontal="center" vertical="center"/>
    </xf>
    <xf numFmtId="0" fontId="30" fillId="0" borderId="1" xfId="0" applyFont="1" applyBorder="1"/>
    <xf numFmtId="0" fontId="29" fillId="0" borderId="1" xfId="0" applyFont="1" applyBorder="1"/>
    <xf numFmtId="0" fontId="6" fillId="2" borderId="1" xfId="0" applyFont="1" applyFill="1" applyBorder="1"/>
    <xf numFmtId="0" fontId="38" fillId="0" borderId="1" xfId="0" applyFont="1" applyFill="1" applyBorder="1"/>
    <xf numFmtId="0" fontId="27" fillId="0" borderId="1" xfId="0" applyFont="1" applyFill="1" applyBorder="1" applyAlignment="1">
      <alignment horizontal="left"/>
    </xf>
    <xf numFmtId="0" fontId="6" fillId="0" borderId="1" xfId="0" applyFont="1" applyFill="1" applyBorder="1" applyAlignment="1">
      <alignment horizontal="left"/>
    </xf>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43" fontId="27" fillId="0" borderId="0" xfId="0" applyNumberFormat="1" applyFont="1" applyBorder="1"/>
    <xf numFmtId="1" fontId="27" fillId="0" borderId="0" xfId="0" applyNumberFormat="1" applyFont="1" applyBorder="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70"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8" fontId="27" fillId="0" borderId="1" xfId="0" applyNumberFormat="1" applyFont="1" applyBorder="1"/>
    <xf numFmtId="168" fontId="28" fillId="0" borderId="1" xfId="3" applyNumberFormat="1" applyFont="1" applyBorder="1"/>
    <xf numFmtId="168" fontId="28" fillId="0" borderId="1" xfId="0" applyNumberFormat="1" applyFont="1" applyBorder="1"/>
    <xf numFmtId="170" fontId="27" fillId="0" borderId="1" xfId="0" applyNumberFormat="1" applyFont="1" applyBorder="1"/>
    <xf numFmtId="43" fontId="27" fillId="0" borderId="0" xfId="0" applyNumberFormat="1" applyFont="1"/>
    <xf numFmtId="168" fontId="27" fillId="0" borderId="1" xfId="3" applyNumberFormat="1" applyFont="1" applyFill="1" applyBorder="1"/>
    <xf numFmtId="168" fontId="27" fillId="0" borderId="1" xfId="0" applyNumberFormat="1" applyFont="1" applyFill="1" applyBorder="1"/>
    <xf numFmtId="168" fontId="27" fillId="0" borderId="0" xfId="0" applyNumberFormat="1" applyFont="1"/>
    <xf numFmtId="170" fontId="27" fillId="0" borderId="16" xfId="2" applyNumberFormat="1" applyFont="1" applyBorder="1"/>
    <xf numFmtId="170" fontId="28" fillId="0" borderId="1" xfId="2" applyNumberFormat="1" applyFont="1" applyBorder="1" applyAlignment="1">
      <alignment wrapText="1"/>
    </xf>
    <xf numFmtId="0" fontId="26" fillId="0" borderId="0" xfId="0" applyFont="1" applyAlignment="1"/>
    <xf numFmtId="167"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8"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70"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70"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8" fontId="42" fillId="0" borderId="1" xfId="3" applyNumberFormat="1" applyFont="1" applyFill="1" applyBorder="1" applyAlignment="1">
      <alignment horizontal="right" vertical="center" wrapText="1"/>
    </xf>
    <xf numFmtId="170" fontId="29" fillId="6" borderId="1" xfId="2" applyNumberFormat="1" applyFont="1" applyFill="1" applyBorder="1" applyAlignment="1">
      <alignment horizontal="left" vertical="center" wrapText="1"/>
    </xf>
    <xf numFmtId="170" fontId="29" fillId="6" borderId="1" xfId="2" applyNumberFormat="1" applyFont="1" applyFill="1" applyBorder="1" applyAlignment="1">
      <alignment vertical="center" wrapText="1"/>
    </xf>
    <xf numFmtId="0" fontId="27" fillId="6" borderId="1" xfId="0" applyFont="1" applyFill="1" applyBorder="1"/>
    <xf numFmtId="168"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70" fontId="42" fillId="6" borderId="1" xfId="2" applyNumberFormat="1" applyFont="1" applyFill="1" applyBorder="1" applyAlignment="1">
      <alignment horizontal="right" vertical="center" wrapText="1"/>
    </xf>
    <xf numFmtId="0" fontId="28" fillId="6" borderId="1" xfId="0" applyFont="1" applyFill="1" applyBorder="1"/>
    <xf numFmtId="168"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8" fontId="12" fillId="6" borderId="1" xfId="3" applyNumberFormat="1" applyFont="1" applyFill="1" applyBorder="1" applyAlignment="1">
      <alignment horizontal="center" vertical="center" wrapText="1"/>
    </xf>
    <xf numFmtId="168" fontId="12" fillId="6" borderId="1" xfId="3" applyNumberFormat="1" applyFont="1" applyFill="1" applyBorder="1" applyAlignment="1">
      <alignment horizontal="right" vertical="center" wrapText="1"/>
    </xf>
    <xf numFmtId="168" fontId="41" fillId="6" borderId="1" xfId="3" applyNumberFormat="1" applyFont="1" applyFill="1" applyBorder="1" applyAlignment="1">
      <alignment horizontal="center" vertical="center" wrapText="1"/>
    </xf>
    <xf numFmtId="168" fontId="41"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6" fontId="29" fillId="6" borderId="1" xfId="0" applyNumberFormat="1" applyFont="1" applyFill="1" applyBorder="1"/>
    <xf numFmtId="2" fontId="30" fillId="6" borderId="1" xfId="0" applyNumberFormat="1" applyFont="1" applyFill="1" applyBorder="1"/>
    <xf numFmtId="170" fontId="27" fillId="6" borderId="1" xfId="2" applyNumberFormat="1" applyFont="1" applyFill="1" applyBorder="1"/>
    <xf numFmtId="168" fontId="27" fillId="6" borderId="1" xfId="3" applyNumberFormat="1" applyFont="1" applyFill="1" applyBorder="1"/>
    <xf numFmtId="0" fontId="27" fillId="6" borderId="1" xfId="0" applyFont="1" applyFill="1" applyBorder="1" applyAlignment="1">
      <alignment wrapText="1"/>
    </xf>
    <xf numFmtId="170" fontId="27" fillId="6" borderId="1" xfId="2" applyNumberFormat="1" applyFont="1" applyFill="1" applyBorder="1" applyAlignment="1">
      <alignment wrapText="1"/>
    </xf>
    <xf numFmtId="170"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0" fontId="28" fillId="0" borderId="1" xfId="0" applyFont="1" applyBorder="1" applyAlignment="1">
      <alignment horizontal="center" vertical="center"/>
    </xf>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70"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8"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8" fontId="27" fillId="0" borderId="1" xfId="1" applyNumberFormat="1" applyFont="1" applyBorder="1"/>
    <xf numFmtId="43"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1" fontId="0" fillId="0" borderId="0" xfId="0" applyNumberFormat="1"/>
    <xf numFmtId="0" fontId="0" fillId="0" borderId="1" xfId="0" applyNumberFormat="1" applyBorder="1"/>
    <xf numFmtId="170"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70" fontId="2" fillId="0" borderId="0" xfId="2" applyNumberFormat="1" applyFont="1" applyFill="1" applyBorder="1"/>
    <xf numFmtId="1" fontId="27" fillId="0" borderId="1" xfId="0" applyNumberFormat="1" applyFont="1" applyBorder="1"/>
    <xf numFmtId="0" fontId="0" fillId="0" borderId="0" xfId="0" applyAlignment="1">
      <alignment horizontal="center"/>
    </xf>
    <xf numFmtId="9" fontId="54" fillId="7" borderId="1" xfId="0" applyNumberFormat="1" applyFont="1" applyFill="1" applyBorder="1"/>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70" fontId="4" fillId="0" borderId="1" xfId="2" applyNumberFormat="1" applyFont="1" applyFill="1" applyBorder="1"/>
    <xf numFmtId="170" fontId="6" fillId="0" borderId="1" xfId="2" applyNumberFormat="1" applyFont="1" applyFill="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0" fontId="57" fillId="0" borderId="0" xfId="0" applyFont="1" applyAlignment="1"/>
    <xf numFmtId="172"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4" fillId="0" borderId="1" xfId="0" applyFont="1" applyBorder="1" applyAlignment="1">
      <alignment horizontal="center" vertical="center" wrapText="1"/>
    </xf>
    <xf numFmtId="0" fontId="12" fillId="0" borderId="1" xfId="0" applyFont="1" applyBorder="1" applyAlignment="1">
      <alignment vertical="center" wrapText="1"/>
    </xf>
    <xf numFmtId="0" fontId="29" fillId="0" borderId="1" xfId="0" applyFont="1" applyFill="1" applyBorder="1" applyAlignment="1">
      <alignment horizontal="left" vertical="center" wrapText="1"/>
    </xf>
    <xf numFmtId="0" fontId="29" fillId="0" borderId="1" xfId="0" applyFont="1" applyFill="1" applyBorder="1" applyAlignment="1">
      <alignment horizontal="center"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0" fontId="68" fillId="0" borderId="1" xfId="0" applyFont="1" applyBorder="1"/>
    <xf numFmtId="0" fontId="56" fillId="0" borderId="1" xfId="0" applyFont="1" applyBorder="1"/>
    <xf numFmtId="0" fontId="69" fillId="0" borderId="1" xfId="0" applyFont="1" applyBorder="1"/>
    <xf numFmtId="0" fontId="70" fillId="0" borderId="1" xfId="0" applyFont="1" applyBorder="1"/>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0" fillId="0" borderId="2" xfId="0" applyFill="1" applyBorder="1"/>
    <xf numFmtId="0" fontId="0" fillId="0" borderId="15" xfId="0" applyBorder="1"/>
    <xf numFmtId="0" fontId="0" fillId="0" borderId="21" xfId="0" applyBorder="1"/>
    <xf numFmtId="0" fontId="0" fillId="0" borderId="16" xfId="0" applyBorder="1"/>
    <xf numFmtId="0" fontId="71" fillId="12" borderId="1" xfId="0" applyFont="1" applyFill="1" applyBorder="1"/>
    <xf numFmtId="0" fontId="56" fillId="0" borderId="1" xfId="0" applyFont="1" applyBorder="1" applyAlignment="1">
      <alignment horizontal="center"/>
    </xf>
    <xf numFmtId="0" fontId="56" fillId="0" borderId="1" xfId="0" applyFont="1" applyBorder="1" applyAlignment="1">
      <alignment horizontal="right"/>
    </xf>
    <xf numFmtId="0" fontId="72" fillId="0" borderId="1" xfId="0" applyFont="1" applyFill="1" applyBorder="1" applyAlignment="1">
      <alignment wrapText="1"/>
    </xf>
    <xf numFmtId="170" fontId="69" fillId="0" borderId="1" xfId="2" applyNumberFormat="1" applyFont="1" applyBorder="1"/>
    <xf numFmtId="0" fontId="56" fillId="0" borderId="1" xfId="0" applyFont="1" applyFill="1" applyBorder="1"/>
    <xf numFmtId="164" fontId="70" fillId="0" borderId="1" xfId="2" applyFont="1" applyBorder="1"/>
    <xf numFmtId="0" fontId="72" fillId="0" borderId="1" xfId="0" applyFont="1" applyBorder="1"/>
    <xf numFmtId="1" fontId="72" fillId="0" borderId="1" xfId="0" applyNumberFormat="1" applyFont="1" applyBorder="1"/>
    <xf numFmtId="0" fontId="73" fillId="0" borderId="1" xfId="0" applyFont="1" applyFill="1" applyBorder="1" applyAlignment="1">
      <alignment horizontal="center"/>
    </xf>
    <xf numFmtId="0" fontId="71" fillId="0" borderId="1" xfId="0" applyFont="1" applyFill="1" applyBorder="1"/>
    <xf numFmtId="0" fontId="71" fillId="0" borderId="1" xfId="0" applyFont="1" applyFill="1" applyBorder="1" applyAlignment="1">
      <alignment horizontal="center"/>
    </xf>
    <xf numFmtId="0" fontId="74" fillId="0" borderId="1" xfId="0" applyFont="1" applyFill="1" applyBorder="1"/>
    <xf numFmtId="0" fontId="70" fillId="0" borderId="1" xfId="0" applyFont="1" applyBorder="1" applyAlignment="1">
      <alignment horizontal="center"/>
    </xf>
    <xf numFmtId="164" fontId="72" fillId="0" borderId="1" xfId="2" applyFont="1" applyBorder="1"/>
    <xf numFmtId="164" fontId="56" fillId="0" borderId="1" xfId="2" applyFont="1" applyBorder="1"/>
    <xf numFmtId="164" fontId="70" fillId="0" borderId="1" xfId="0" applyNumberFormat="1" applyFont="1" applyBorder="1"/>
    <xf numFmtId="1" fontId="56" fillId="0" borderId="1" xfId="0" applyNumberFormat="1" applyFont="1" applyBorder="1"/>
    <xf numFmtId="0" fontId="69" fillId="0" borderId="1" xfId="0" applyFont="1" applyBorder="1" applyAlignment="1">
      <alignment horizontal="center"/>
    </xf>
    <xf numFmtId="164" fontId="69" fillId="0" borderId="1" xfId="0" applyNumberFormat="1" applyFont="1" applyBorder="1"/>
    <xf numFmtId="0" fontId="0" fillId="13" borderId="0" xfId="0" applyFill="1"/>
    <xf numFmtId="0" fontId="75" fillId="12" borderId="1" xfId="0" applyFont="1" applyFill="1" applyBorder="1" applyAlignment="1">
      <alignment horizontal="center"/>
    </xf>
    <xf numFmtId="0" fontId="73" fillId="12" borderId="20" xfId="0" applyFont="1" applyFill="1" applyBorder="1"/>
    <xf numFmtId="170" fontId="72" fillId="0" borderId="1" xfId="2" applyNumberFormat="1" applyFont="1" applyFill="1" applyBorder="1" applyAlignment="1">
      <alignment horizontal="right"/>
    </xf>
    <xf numFmtId="0" fontId="72" fillId="0" borderId="11" xfId="0" applyFont="1" applyFill="1" applyBorder="1"/>
    <xf numFmtId="0" fontId="72" fillId="0" borderId="1" xfId="0" applyFont="1" applyFill="1" applyBorder="1"/>
    <xf numFmtId="13" fontId="72" fillId="0" borderId="1" xfId="2" applyNumberFormat="1" applyFont="1" applyFill="1" applyBorder="1" applyAlignment="1">
      <alignment horizontal="right"/>
    </xf>
    <xf numFmtId="164" fontId="56" fillId="0" borderId="1" xfId="0" applyNumberFormat="1" applyFont="1" applyFill="1" applyBorder="1"/>
    <xf numFmtId="0" fontId="72" fillId="0" borderId="12" xfId="0" applyFont="1" applyFill="1" applyBorder="1"/>
    <xf numFmtId="0" fontId="70" fillId="0" borderId="1" xfId="0" applyFont="1" applyFill="1" applyBorder="1" applyAlignment="1">
      <alignment horizontal="left"/>
    </xf>
    <xf numFmtId="164" fontId="69" fillId="0" borderId="1" xfId="2" applyFont="1" applyFill="1" applyBorder="1" applyAlignment="1">
      <alignment horizontal="left"/>
    </xf>
    <xf numFmtId="0" fontId="69" fillId="0" borderId="1" xfId="0" applyFont="1" applyFill="1" applyBorder="1" applyAlignment="1">
      <alignment horizontal="left"/>
    </xf>
    <xf numFmtId="9" fontId="69" fillId="0" borderId="1" xfId="1" applyFont="1" applyFill="1" applyBorder="1" applyAlignment="1">
      <alignment horizontal="center"/>
    </xf>
    <xf numFmtId="170" fontId="69" fillId="0" borderId="1" xfId="2" applyNumberFormat="1" applyFont="1" applyFill="1" applyBorder="1" applyAlignment="1">
      <alignment horizontal="center"/>
    </xf>
    <xf numFmtId="0" fontId="69" fillId="0" borderId="1" xfId="0" applyFont="1" applyFill="1" applyBorder="1"/>
    <xf numFmtId="164" fontId="69" fillId="0" borderId="1" xfId="2" applyFont="1" applyBorder="1"/>
    <xf numFmtId="170" fontId="27" fillId="6" borderId="1" xfId="0" applyNumberFormat="1" applyFont="1" applyFill="1" applyBorder="1"/>
    <xf numFmtId="164" fontId="27" fillId="0" borderId="1" xfId="2" applyNumberFormat="1" applyFont="1" applyBorder="1"/>
    <xf numFmtId="164" fontId="27" fillId="0" borderId="1" xfId="0" applyNumberFormat="1" applyFont="1" applyBorder="1"/>
    <xf numFmtId="164" fontId="27" fillId="6" borderId="1" xfId="0" applyNumberFormat="1" applyFont="1" applyFill="1" applyBorder="1"/>
    <xf numFmtId="164" fontId="0" fillId="0" borderId="0" xfId="0" applyNumberFormat="1"/>
    <xf numFmtId="0" fontId="76" fillId="0" borderId="1" xfId="0" applyFont="1" applyBorder="1" applyAlignment="1">
      <alignment wrapText="1"/>
    </xf>
    <xf numFmtId="0" fontId="77" fillId="0" borderId="1" xfId="0" applyFont="1" applyBorder="1" applyAlignment="1">
      <alignment wrapText="1"/>
    </xf>
    <xf numFmtId="164" fontId="77" fillId="0" borderId="1" xfId="2" applyFont="1" applyBorder="1" applyAlignment="1">
      <alignment wrapText="1"/>
    </xf>
    <xf numFmtId="0" fontId="78" fillId="0" borderId="1" xfId="0" applyFont="1" applyBorder="1" applyAlignment="1">
      <alignment wrapText="1"/>
    </xf>
    <xf numFmtId="0" fontId="77" fillId="0" borderId="0" xfId="0" applyFont="1" applyBorder="1" applyAlignment="1">
      <alignment wrapText="1"/>
    </xf>
    <xf numFmtId="164" fontId="77" fillId="0" borderId="0" xfId="2" applyFont="1" applyBorder="1" applyAlignment="1">
      <alignment wrapText="1"/>
    </xf>
    <xf numFmtId="0" fontId="77" fillId="0" borderId="1" xfId="0" applyFont="1" applyFill="1" applyBorder="1" applyAlignment="1">
      <alignment wrapText="1"/>
    </xf>
    <xf numFmtId="164" fontId="77" fillId="0" borderId="1" xfId="2" applyFont="1" applyFill="1" applyBorder="1" applyAlignment="1">
      <alignment wrapText="1"/>
    </xf>
    <xf numFmtId="0" fontId="77" fillId="0" borderId="0" xfId="0" applyFont="1" applyFill="1" applyBorder="1" applyAlignment="1">
      <alignment wrapText="1"/>
    </xf>
    <xf numFmtId="164" fontId="77" fillId="0" borderId="0" xfId="2" applyFont="1" applyFill="1" applyBorder="1" applyAlignment="1">
      <alignment wrapText="1"/>
    </xf>
    <xf numFmtId="164" fontId="76" fillId="0" borderId="0" xfId="0" applyNumberFormat="1" applyFont="1" applyFill="1" applyBorder="1" applyAlignment="1">
      <alignment wrapText="1"/>
    </xf>
    <xf numFmtId="0" fontId="80" fillId="0" borderId="0" xfId="0" applyFont="1"/>
    <xf numFmtId="166" fontId="41" fillId="6" borderId="1" xfId="3" applyNumberFormat="1" applyFont="1" applyFill="1" applyBorder="1" applyAlignment="1">
      <alignment horizontal="right" vertical="center" wrapText="1"/>
    </xf>
    <xf numFmtId="166" fontId="40" fillId="2" borderId="1" xfId="0" applyNumberFormat="1" applyFont="1" applyFill="1" applyBorder="1" applyAlignment="1">
      <alignment horizontal="center" vertical="center" wrapText="1"/>
    </xf>
    <xf numFmtId="166" fontId="29" fillId="0" borderId="1" xfId="3" applyNumberFormat="1" applyFont="1" applyFill="1" applyBorder="1" applyAlignment="1">
      <alignment horizontal="right" vertical="center" wrapText="1"/>
    </xf>
    <xf numFmtId="166" fontId="29" fillId="6" borderId="1" xfId="2" applyNumberFormat="1" applyFont="1" applyFill="1" applyBorder="1" applyAlignment="1">
      <alignment horizontal="right" vertical="center" wrapText="1"/>
    </xf>
    <xf numFmtId="166" fontId="28" fillId="0" borderId="1" xfId="3" applyNumberFormat="1" applyFont="1" applyBorder="1" applyAlignment="1">
      <alignment horizontal="right" vertical="center" wrapText="1"/>
    </xf>
    <xf numFmtId="166" fontId="42" fillId="6" borderId="1" xfId="3" applyNumberFormat="1" applyFont="1" applyFill="1" applyBorder="1" applyAlignment="1">
      <alignment horizontal="right" vertical="center" wrapText="1"/>
    </xf>
    <xf numFmtId="166" fontId="42" fillId="0" borderId="1" xfId="3" applyNumberFormat="1" applyFont="1" applyFill="1" applyBorder="1" applyAlignment="1">
      <alignment horizontal="right" vertical="center" wrapText="1"/>
    </xf>
    <xf numFmtId="166" fontId="41" fillId="6" borderId="10" xfId="3" applyNumberFormat="1" applyFont="1" applyFill="1" applyBorder="1" applyAlignment="1">
      <alignment horizontal="right" vertical="center" wrapText="1"/>
    </xf>
    <xf numFmtId="166" fontId="42" fillId="6" borderId="10" xfId="3" applyNumberFormat="1" applyFont="1" applyFill="1" applyBorder="1" applyAlignment="1">
      <alignment horizontal="right" vertical="center" wrapText="1"/>
    </xf>
    <xf numFmtId="3" fontId="72" fillId="0" borderId="1" xfId="0" applyNumberFormat="1" applyFont="1" applyBorder="1" applyAlignment="1">
      <alignment horizontal="center"/>
    </xf>
    <xf numFmtId="4" fontId="72" fillId="0" borderId="1" xfId="0" applyNumberFormat="1" applyFont="1" applyBorder="1"/>
    <xf numFmtId="164" fontId="72" fillId="0" borderId="1" xfId="0" applyNumberFormat="1" applyFont="1" applyBorder="1"/>
    <xf numFmtId="1" fontId="72" fillId="0" borderId="1" xfId="0" applyNumberFormat="1" applyFont="1" applyBorder="1" applyAlignment="1">
      <alignment horizontal="center"/>
    </xf>
    <xf numFmtId="2" fontId="72" fillId="0" borderId="1" xfId="0" applyNumberFormat="1" applyFont="1" applyBorder="1"/>
    <xf numFmtId="1" fontId="69" fillId="0" borderId="1" xfId="0" applyNumberFormat="1" applyFont="1" applyBorder="1" applyAlignment="1">
      <alignment horizontal="center"/>
    </xf>
    <xf numFmtId="0" fontId="69" fillId="0" borderId="1" xfId="0" applyFont="1" applyBorder="1" applyAlignment="1">
      <alignment wrapText="1"/>
    </xf>
    <xf numFmtId="2" fontId="69" fillId="0" borderId="1" xfId="0" applyNumberFormat="1" applyFont="1" applyBorder="1"/>
    <xf numFmtId="0" fontId="72" fillId="0" borderId="1" xfId="0" applyFont="1" applyBorder="1" applyAlignment="1">
      <alignment wrapText="1"/>
    </xf>
    <xf numFmtId="164" fontId="21" fillId="2" borderId="1" xfId="0" applyNumberFormat="1" applyFont="1" applyFill="1" applyBorder="1"/>
    <xf numFmtId="164" fontId="21" fillId="2" borderId="1" xfId="0" applyNumberFormat="1" applyFont="1" applyFill="1" applyBorder="1" applyAlignment="1">
      <alignment horizontal="center"/>
    </xf>
    <xf numFmtId="164" fontId="28" fillId="0" borderId="1" xfId="0" applyNumberFormat="1" applyFont="1" applyBorder="1"/>
    <xf numFmtId="164" fontId="28" fillId="0" borderId="1" xfId="2" applyNumberFormat="1" applyFont="1" applyBorder="1"/>
    <xf numFmtId="164" fontId="27" fillId="0" borderId="1" xfId="0" applyNumberFormat="1" applyFont="1" applyFill="1" applyBorder="1"/>
    <xf numFmtId="164" fontId="27" fillId="0" borderId="0" xfId="2" applyNumberFormat="1" applyFont="1"/>
    <xf numFmtId="164" fontId="45" fillId="0" borderId="0" xfId="0" applyNumberFormat="1" applyFont="1"/>
    <xf numFmtId="0" fontId="71" fillId="12" borderId="0" xfId="0" applyFont="1" applyFill="1" applyBorder="1" applyAlignment="1">
      <alignment horizontal="center"/>
    </xf>
    <xf numFmtId="0" fontId="72" fillId="0" borderId="0" xfId="0" applyFont="1" applyBorder="1"/>
    <xf numFmtId="164" fontId="72" fillId="0" borderId="0" xfId="2" applyFont="1" applyBorder="1"/>
    <xf numFmtId="1" fontId="72" fillId="0" borderId="0" xfId="0" applyNumberFormat="1" applyFont="1" applyBorder="1"/>
    <xf numFmtId="164" fontId="56" fillId="0" borderId="0" xfId="2" applyFont="1" applyBorder="1"/>
    <xf numFmtId="170" fontId="69" fillId="0" borderId="1" xfId="0" applyNumberFormat="1" applyFont="1" applyBorder="1"/>
    <xf numFmtId="170" fontId="70" fillId="0" borderId="1" xfId="0" applyNumberFormat="1" applyFont="1" applyBorder="1"/>
    <xf numFmtId="0" fontId="71" fillId="4" borderId="0" xfId="0" applyFont="1" applyFill="1" applyBorder="1" applyAlignment="1">
      <alignment horizontal="center"/>
    </xf>
    <xf numFmtId="0" fontId="69" fillId="4" borderId="0" xfId="0" applyFont="1" applyFill="1" applyBorder="1"/>
    <xf numFmtId="0" fontId="72" fillId="4" borderId="0" xfId="0" applyFont="1" applyFill="1" applyBorder="1"/>
    <xf numFmtId="1" fontId="72" fillId="4" borderId="0" xfId="0" applyNumberFormat="1" applyFont="1" applyFill="1" applyBorder="1"/>
    <xf numFmtId="170" fontId="69" fillId="4" borderId="0" xfId="0" applyNumberFormat="1" applyFont="1" applyFill="1" applyBorder="1"/>
    <xf numFmtId="164" fontId="70" fillId="4" borderId="0" xfId="0" applyNumberFormat="1" applyFont="1" applyFill="1" applyBorder="1"/>
    <xf numFmtId="164" fontId="56" fillId="4" borderId="0" xfId="2" applyFont="1" applyFill="1" applyBorder="1"/>
    <xf numFmtId="164" fontId="69" fillId="0" borderId="0" xfId="0" applyNumberFormat="1" applyFont="1"/>
    <xf numFmtId="164" fontId="56" fillId="0" borderId="1" xfId="0" applyNumberFormat="1" applyFont="1" applyBorder="1" applyAlignment="1">
      <alignment horizontal="center"/>
    </xf>
    <xf numFmtId="164" fontId="69" fillId="0" borderId="1" xfId="2" applyNumberFormat="1" applyFont="1" applyBorder="1"/>
    <xf numFmtId="164" fontId="70" fillId="0" borderId="1" xfId="2" applyNumberFormat="1" applyFont="1" applyBorder="1"/>
    <xf numFmtId="164" fontId="70" fillId="0" borderId="0" xfId="0" applyNumberFormat="1" applyFont="1"/>
    <xf numFmtId="164" fontId="2" fillId="0" borderId="0" xfId="0" applyNumberFormat="1" applyFont="1" applyAlignment="1">
      <alignment horizontal="center"/>
    </xf>
    <xf numFmtId="164" fontId="28" fillId="0" borderId="0" xfId="0" applyNumberFormat="1" applyFont="1" applyAlignment="1">
      <alignment horizontal="center"/>
    </xf>
    <xf numFmtId="164" fontId="27" fillId="0" borderId="1" xfId="1" applyNumberFormat="1" applyFont="1" applyBorder="1"/>
    <xf numFmtId="164" fontId="0" fillId="0" borderId="1" xfId="0" applyNumberFormat="1" applyBorder="1"/>
    <xf numFmtId="164" fontId="71" fillId="0" borderId="1" xfId="0" applyNumberFormat="1" applyFont="1" applyFill="1" applyBorder="1" applyAlignment="1">
      <alignment horizontal="center"/>
    </xf>
    <xf numFmtId="164" fontId="72" fillId="0" borderId="1" xfId="2" applyNumberFormat="1" applyFont="1" applyBorder="1"/>
    <xf numFmtId="164" fontId="56" fillId="0" borderId="1" xfId="2" applyNumberFormat="1" applyFont="1" applyBorder="1"/>
    <xf numFmtId="164" fontId="0" fillId="13" borderId="0" xfId="0" applyNumberFormat="1" applyFill="1"/>
    <xf numFmtId="164" fontId="73" fillId="12" borderId="20" xfId="0" applyNumberFormat="1" applyFont="1" applyFill="1" applyBorder="1"/>
    <xf numFmtId="164" fontId="72" fillId="0" borderId="0" xfId="0" applyNumberFormat="1" applyFont="1" applyFill="1" applyBorder="1"/>
    <xf numFmtId="164" fontId="72" fillId="0" borderId="13" xfId="0" applyNumberFormat="1" applyFont="1" applyFill="1" applyBorder="1"/>
    <xf numFmtId="164" fontId="69" fillId="0" borderId="1" xfId="2" applyNumberFormat="1" applyFont="1" applyFill="1" applyBorder="1" applyAlignment="1">
      <alignment horizontal="left"/>
    </xf>
    <xf numFmtId="164" fontId="69" fillId="0" borderId="1" xfId="1" applyNumberFormat="1" applyFont="1" applyFill="1" applyBorder="1" applyAlignment="1">
      <alignment horizontal="center"/>
    </xf>
    <xf numFmtId="164" fontId="69" fillId="0" borderId="1" xfId="2" applyNumberFormat="1" applyFont="1" applyFill="1" applyBorder="1" applyAlignment="1">
      <alignment horizontal="center"/>
    </xf>
    <xf numFmtId="164" fontId="71" fillId="12" borderId="0" xfId="0" applyNumberFormat="1" applyFont="1" applyFill="1" applyBorder="1" applyAlignment="1">
      <alignment horizontal="center"/>
    </xf>
    <xf numFmtId="164" fontId="0" fillId="0" borderId="0" xfId="0" applyNumberFormat="1" applyBorder="1"/>
    <xf numFmtId="164" fontId="72" fillId="0" borderId="0" xfId="0" applyNumberFormat="1" applyFont="1" applyBorder="1"/>
    <xf numFmtId="164" fontId="72" fillId="0" borderId="0" xfId="2" applyNumberFormat="1" applyFont="1" applyBorder="1"/>
    <xf numFmtId="164" fontId="56" fillId="0" borderId="0" xfId="2" applyNumberFormat="1" applyFont="1" applyBorder="1"/>
    <xf numFmtId="164" fontId="71" fillId="4" borderId="0" xfId="0" applyNumberFormat="1" applyFont="1" applyFill="1" applyBorder="1" applyAlignment="1">
      <alignment horizontal="center"/>
    </xf>
    <xf numFmtId="164" fontId="69" fillId="4" borderId="0" xfId="0" applyNumberFormat="1" applyFont="1" applyFill="1" applyBorder="1"/>
    <xf numFmtId="164" fontId="72" fillId="4" borderId="0" xfId="0" applyNumberFormat="1" applyFont="1" applyFill="1" applyBorder="1"/>
    <xf numFmtId="164" fontId="56" fillId="4" borderId="0" xfId="2" applyNumberFormat="1" applyFont="1" applyFill="1" applyBorder="1"/>
    <xf numFmtId="0" fontId="77" fillId="0" borderId="1" xfId="0" applyFont="1" applyBorder="1" applyAlignment="1">
      <alignment horizontal="center" wrapText="1"/>
    </xf>
    <xf numFmtId="0" fontId="77" fillId="0" borderId="0" xfId="0" applyFont="1" applyAlignment="1">
      <alignment wrapText="1"/>
    </xf>
    <xf numFmtId="0" fontId="78" fillId="0" borderId="1" xfId="0" applyFont="1" applyBorder="1" applyAlignment="1">
      <alignment horizontal="center" wrapText="1"/>
    </xf>
    <xf numFmtId="164" fontId="78" fillId="0" borderId="1" xfId="2" applyFont="1" applyBorder="1" applyAlignment="1">
      <alignment horizontal="right" wrapText="1"/>
    </xf>
    <xf numFmtId="0" fontId="78" fillId="0" borderId="1" xfId="0" applyFont="1" applyFill="1" applyBorder="1" applyAlignment="1">
      <alignment horizontal="center" wrapText="1"/>
    </xf>
    <xf numFmtId="164" fontId="78" fillId="0" borderId="1" xfId="2" applyFont="1" applyBorder="1" applyAlignment="1">
      <alignment wrapText="1"/>
    </xf>
    <xf numFmtId="0" fontId="0" fillId="0" borderId="11" xfId="0" applyBorder="1"/>
    <xf numFmtId="0" fontId="0" fillId="0" borderId="11" xfId="0" applyFill="1" applyBorder="1"/>
    <xf numFmtId="166" fontId="0" fillId="0" borderId="0" xfId="1" applyNumberFormat="1" applyFont="1"/>
    <xf numFmtId="166" fontId="77" fillId="0" borderId="1" xfId="0" applyNumberFormat="1" applyFont="1" applyBorder="1" applyAlignment="1">
      <alignment wrapText="1"/>
    </xf>
    <xf numFmtId="166" fontId="15" fillId="0" borderId="0" xfId="6" applyNumberFormat="1" applyFont="1" applyFill="1" applyBorder="1" applyAlignment="1">
      <alignment horizontal="center"/>
    </xf>
    <xf numFmtId="166" fontId="21" fillId="2" borderId="1" xfId="0" applyNumberFormat="1" applyFont="1" applyFill="1" applyBorder="1" applyAlignment="1">
      <alignment horizontal="center" wrapText="1"/>
    </xf>
    <xf numFmtId="166" fontId="27" fillId="0" borderId="1" xfId="0" applyNumberFormat="1" applyFont="1" applyFill="1" applyBorder="1"/>
    <xf numFmtId="166" fontId="39" fillId="0" borderId="1" xfId="0" applyNumberFormat="1" applyFont="1" applyFill="1" applyBorder="1" applyAlignment="1">
      <alignment horizontal="center"/>
    </xf>
    <xf numFmtId="166" fontId="29" fillId="0" borderId="1" xfId="0" applyNumberFormat="1" applyFont="1" applyFill="1" applyBorder="1"/>
    <xf numFmtId="166" fontId="30" fillId="0" borderId="1" xfId="0" applyNumberFormat="1" applyFont="1" applyFill="1" applyBorder="1"/>
    <xf numFmtId="166" fontId="29" fillId="0" borderId="0" xfId="0" applyNumberFormat="1" applyFont="1" applyFill="1" applyBorder="1"/>
    <xf numFmtId="166" fontId="27" fillId="0" borderId="0" xfId="0" applyNumberFormat="1" applyFont="1"/>
    <xf numFmtId="166" fontId="6" fillId="0" borderId="0" xfId="0" applyNumberFormat="1" applyFont="1" applyFill="1" applyBorder="1"/>
    <xf numFmtId="166" fontId="4" fillId="0" borderId="0" xfId="1" applyNumberFormat="1" applyFont="1" applyBorder="1"/>
    <xf numFmtId="166" fontId="27" fillId="0" borderId="0" xfId="0" applyNumberFormat="1" applyFont="1" applyFill="1" applyBorder="1"/>
    <xf numFmtId="166" fontId="27" fillId="0" borderId="0" xfId="1" applyNumberFormat="1" applyFont="1"/>
    <xf numFmtId="166" fontId="17" fillId="0" borderId="0" xfId="0" applyNumberFormat="1" applyFont="1"/>
    <xf numFmtId="166" fontId="24" fillId="5" borderId="1" xfId="3" applyNumberFormat="1" applyFont="1" applyFill="1" applyBorder="1" applyAlignment="1">
      <alignment horizontal="center"/>
    </xf>
    <xf numFmtId="166" fontId="29" fillId="0" borderId="1" xfId="3" applyNumberFormat="1" applyFont="1" applyFill="1" applyBorder="1"/>
    <xf numFmtId="166" fontId="30" fillId="0" borderId="1" xfId="0" applyNumberFormat="1" applyFont="1" applyBorder="1"/>
    <xf numFmtId="166" fontId="17" fillId="0" borderId="0" xfId="3" applyNumberFormat="1" applyFont="1" applyFill="1" applyBorder="1"/>
    <xf numFmtId="166" fontId="17" fillId="0" borderId="0" xfId="0" applyNumberFormat="1" applyFont="1" applyFill="1" applyBorder="1"/>
    <xf numFmtId="166" fontId="15" fillId="0" borderId="0" xfId="6" applyNumberFormat="1" applyFont="1" applyFill="1" applyBorder="1" applyAlignment="1"/>
    <xf numFmtId="166" fontId="21" fillId="2" borderId="1" xfId="0" applyNumberFormat="1" applyFont="1" applyFill="1" applyBorder="1" applyAlignment="1">
      <alignment horizontal="center"/>
    </xf>
    <xf numFmtId="166" fontId="14" fillId="0" borderId="0" xfId="0" applyNumberFormat="1" applyFont="1" applyFill="1" applyBorder="1"/>
    <xf numFmtId="166" fontId="14" fillId="0" borderId="0" xfId="9" applyNumberFormat="1" applyFont="1" applyFill="1" applyBorder="1" applyAlignment="1">
      <alignment vertical="center"/>
    </xf>
    <xf numFmtId="166" fontId="77" fillId="0" borderId="0" xfId="0" applyNumberFormat="1" applyFont="1" applyFill="1" applyBorder="1" applyAlignment="1">
      <alignment wrapText="1"/>
    </xf>
    <xf numFmtId="166" fontId="77" fillId="0" borderId="0" xfId="2" applyNumberFormat="1" applyFont="1" applyFill="1" applyBorder="1" applyAlignment="1">
      <alignment wrapText="1"/>
    </xf>
    <xf numFmtId="166" fontId="76" fillId="0" borderId="0" xfId="0" applyNumberFormat="1" applyFont="1" applyFill="1" applyBorder="1" applyAlignment="1">
      <alignment wrapText="1"/>
    </xf>
    <xf numFmtId="166" fontId="0" fillId="0" borderId="0" xfId="0" applyNumberFormat="1" applyFill="1"/>
    <xf numFmtId="166" fontId="14" fillId="0" borderId="0" xfId="0" applyNumberFormat="1" applyFont="1"/>
    <xf numFmtId="2" fontId="27" fillId="7" borderId="1" xfId="0" applyNumberFormat="1" applyFont="1" applyFill="1" applyBorder="1"/>
    <xf numFmtId="164" fontId="41" fillId="0" borderId="1" xfId="2" applyNumberFormat="1" applyFont="1" applyFill="1" applyBorder="1" applyAlignment="1">
      <alignment horizontal="right" vertical="center" wrapText="1"/>
    </xf>
    <xf numFmtId="164" fontId="42" fillId="0" borderId="1" xfId="2" applyNumberFormat="1" applyFont="1" applyFill="1" applyBorder="1" applyAlignment="1">
      <alignment horizontal="right" vertical="center" wrapText="1"/>
    </xf>
    <xf numFmtId="9" fontId="42" fillId="6" borderId="1" xfId="0" applyNumberFormat="1" applyFont="1" applyFill="1" applyBorder="1" applyAlignment="1">
      <alignment horizontal="center" vertical="center" wrapText="1"/>
    </xf>
    <xf numFmtId="173" fontId="29" fillId="0" borderId="1" xfId="9" applyNumberFormat="1" applyFont="1" applyFill="1" applyBorder="1" applyAlignment="1">
      <alignment vertical="center"/>
    </xf>
    <xf numFmtId="4" fontId="30" fillId="0" borderId="1" xfId="3" applyNumberFormat="1" applyFont="1" applyFill="1" applyBorder="1" applyAlignment="1">
      <alignment vertical="center"/>
    </xf>
    <xf numFmtId="4" fontId="30" fillId="0" borderId="1" xfId="9" applyNumberFormat="1" applyFont="1" applyFill="1" applyBorder="1" applyAlignment="1">
      <alignment vertical="center"/>
    </xf>
    <xf numFmtId="4" fontId="29" fillId="0" borderId="1" xfId="9" applyNumberFormat="1" applyFont="1" applyFill="1" applyBorder="1" applyAlignment="1">
      <alignment vertical="center"/>
    </xf>
    <xf numFmtId="4" fontId="31" fillId="0" borderId="1" xfId="3" applyNumberFormat="1" applyFont="1" applyFill="1" applyBorder="1" applyAlignment="1">
      <alignment vertical="center"/>
    </xf>
    <xf numFmtId="4" fontId="6" fillId="0" borderId="1" xfId="3" applyNumberFormat="1" applyFont="1" applyFill="1" applyBorder="1" applyAlignment="1">
      <alignment vertical="center"/>
    </xf>
    <xf numFmtId="164" fontId="43" fillId="2" borderId="1" xfId="0" applyNumberFormat="1" applyFont="1" applyFill="1" applyBorder="1" applyAlignment="1">
      <alignment horizontal="center" vertical="center" wrapText="1"/>
    </xf>
    <xf numFmtId="164" fontId="43" fillId="2" borderId="22" xfId="0" applyNumberFormat="1" applyFont="1" applyFill="1" applyBorder="1" applyAlignment="1">
      <alignment horizontal="center" vertical="center" wrapText="1"/>
    </xf>
    <xf numFmtId="164" fontId="44" fillId="0" borderId="1" xfId="2" applyNumberFormat="1" applyFont="1" applyBorder="1" applyAlignment="1">
      <alignment vertical="center" wrapText="1"/>
    </xf>
    <xf numFmtId="164" fontId="60" fillId="7" borderId="1" xfId="0" applyNumberFormat="1" applyFont="1" applyFill="1" applyBorder="1"/>
    <xf numFmtId="164" fontId="60" fillId="0" borderId="1" xfId="0" applyNumberFormat="1" applyFont="1" applyBorder="1"/>
    <xf numFmtId="164" fontId="59" fillId="0" borderId="1" xfId="2" applyNumberFormat="1" applyFont="1" applyBorder="1" applyAlignment="1">
      <alignment horizontal="center" vertical="center" wrapText="1"/>
    </xf>
    <xf numFmtId="164" fontId="44" fillId="0" borderId="1" xfId="3" applyNumberFormat="1" applyFont="1" applyFill="1" applyBorder="1" applyAlignment="1">
      <alignment horizontal="right" vertical="center" wrapText="1"/>
    </xf>
    <xf numFmtId="164" fontId="59" fillId="0" borderId="1" xfId="3" applyNumberFormat="1" applyFont="1" applyBorder="1" applyAlignment="1">
      <alignment horizontal="right" vertical="center" wrapText="1"/>
    </xf>
    <xf numFmtId="164" fontId="43" fillId="5" borderId="1" xfId="0" applyNumberFormat="1" applyFont="1" applyFill="1" applyBorder="1" applyAlignment="1">
      <alignment horizontal="center" vertical="center"/>
    </xf>
    <xf numFmtId="164" fontId="43" fillId="5" borderId="1" xfId="0" applyNumberFormat="1" applyFont="1" applyFill="1" applyBorder="1" applyAlignment="1">
      <alignment horizontal="center" vertical="center" wrapText="1"/>
    </xf>
    <xf numFmtId="164" fontId="44" fillId="0" borderId="1" xfId="0" applyNumberFormat="1" applyFont="1" applyBorder="1" applyAlignment="1">
      <alignment horizontal="center" vertical="center" wrapText="1"/>
    </xf>
    <xf numFmtId="164" fontId="44" fillId="0" borderId="1" xfId="0" applyNumberFormat="1" applyFont="1" applyFill="1" applyBorder="1" applyAlignment="1">
      <alignment horizontal="left" vertical="center" wrapText="1"/>
    </xf>
    <xf numFmtId="164" fontId="12" fillId="0" borderId="1" xfId="0" applyNumberFormat="1" applyFont="1" applyBorder="1" applyAlignment="1">
      <alignment horizontal="center" vertical="center" wrapText="1"/>
    </xf>
    <xf numFmtId="164" fontId="4" fillId="0" borderId="1" xfId="3" applyNumberFormat="1" applyFont="1" applyFill="1" applyBorder="1" applyAlignment="1">
      <alignment wrapText="1"/>
    </xf>
    <xf numFmtId="164" fontId="6" fillId="0" borderId="1" xfId="3" applyNumberFormat="1" applyFont="1" applyFill="1" applyBorder="1" applyAlignment="1">
      <alignment wrapText="1"/>
    </xf>
    <xf numFmtId="164" fontId="4" fillId="0" borderId="1" xfId="0" applyNumberFormat="1" applyFont="1" applyFill="1" applyBorder="1" applyAlignment="1">
      <alignment wrapText="1"/>
    </xf>
    <xf numFmtId="164" fontId="4" fillId="0" borderId="1" xfId="2" applyNumberFormat="1" applyFont="1" applyFill="1" applyBorder="1" applyAlignment="1">
      <alignment wrapText="1"/>
    </xf>
    <xf numFmtId="164" fontId="4" fillId="4" borderId="1" xfId="3" applyNumberFormat="1" applyFont="1" applyFill="1" applyBorder="1" applyAlignment="1">
      <alignment wrapText="1"/>
    </xf>
    <xf numFmtId="164" fontId="6" fillId="0" borderId="1" xfId="0" applyNumberFormat="1" applyFont="1" applyFill="1" applyBorder="1" applyAlignment="1">
      <alignment wrapText="1"/>
    </xf>
    <xf numFmtId="0" fontId="6" fillId="0" borderId="15" xfId="0" applyFont="1" applyFill="1" applyBorder="1" applyAlignment="1">
      <alignment horizontal="center"/>
    </xf>
    <xf numFmtId="166" fontId="21" fillId="0" borderId="0" xfId="0" applyNumberFormat="1" applyFont="1" applyFill="1" applyBorder="1" applyAlignment="1">
      <alignment horizontal="center" wrapText="1"/>
    </xf>
    <xf numFmtId="166" fontId="0" fillId="0" borderId="0" xfId="0" applyNumberFormat="1" applyFill="1" applyBorder="1"/>
    <xf numFmtId="164" fontId="72" fillId="6" borderId="1" xfId="2" applyFont="1" applyFill="1" applyBorder="1"/>
    <xf numFmtId="164" fontId="69" fillId="6" borderId="1" xfId="0" applyNumberFormat="1" applyFont="1" applyFill="1" applyBorder="1"/>
    <xf numFmtId="4" fontId="27" fillId="0" borderId="1" xfId="0" applyNumberFormat="1" applyFont="1" applyBorder="1"/>
    <xf numFmtId="4" fontId="27" fillId="0" borderId="1" xfId="2" applyNumberFormat="1" applyFont="1" applyBorder="1"/>
    <xf numFmtId="164" fontId="4" fillId="0" borderId="1" xfId="2" applyNumberFormat="1" applyFont="1" applyBorder="1" applyAlignment="1">
      <alignment horizontal="center"/>
    </xf>
    <xf numFmtId="164" fontId="29" fillId="0" borderId="1" xfId="0" applyNumberFormat="1" applyFont="1" applyFill="1" applyBorder="1" applyAlignment="1">
      <alignment horizontal="center"/>
    </xf>
    <xf numFmtId="164" fontId="0" fillId="0" borderId="1" xfId="0" applyNumberFormat="1" applyFont="1" applyBorder="1"/>
    <xf numFmtId="164" fontId="0" fillId="0" borderId="1" xfId="2" applyNumberFormat="1" applyFont="1" applyBorder="1"/>
    <xf numFmtId="164" fontId="0" fillId="0" borderId="1" xfId="2" applyNumberFormat="1" applyFont="1" applyBorder="1" applyAlignment="1"/>
    <xf numFmtId="164" fontId="0" fillId="0" borderId="1" xfId="0" applyNumberFormat="1" applyFont="1" applyBorder="1" applyAlignment="1">
      <alignment horizontal="center" vertical="center"/>
    </xf>
    <xf numFmtId="164" fontId="2" fillId="0" borderId="1" xfId="2" applyNumberFormat="1" applyFont="1" applyBorder="1" applyAlignment="1"/>
    <xf numFmtId="164" fontId="2" fillId="0" borderId="1" xfId="0" applyNumberFormat="1" applyFont="1" applyBorder="1" applyAlignment="1"/>
    <xf numFmtId="164" fontId="4" fillId="0" borderId="1" xfId="2" applyNumberFormat="1" applyFont="1" applyFill="1" applyBorder="1"/>
    <xf numFmtId="164" fontId="6" fillId="0" borderId="1" xfId="2" applyNumberFormat="1" applyFont="1" applyFill="1" applyBorder="1"/>
    <xf numFmtId="164" fontId="4" fillId="0" borderId="0" xfId="10" applyNumberFormat="1" applyFont="1" applyFill="1"/>
    <xf numFmtId="164" fontId="21" fillId="5" borderId="1" xfId="0" applyNumberFormat="1" applyFont="1" applyFill="1" applyBorder="1" applyAlignment="1">
      <alignment horizontal="center"/>
    </xf>
    <xf numFmtId="164" fontId="4" fillId="0" borderId="1" xfId="10" applyNumberFormat="1" applyFont="1" applyFill="1" applyBorder="1"/>
    <xf numFmtId="1" fontId="0" fillId="0" borderId="0" xfId="0" applyNumberFormat="1"/>
    <xf numFmtId="164" fontId="0" fillId="0" borderId="1" xfId="2" applyFont="1" applyBorder="1"/>
    <xf numFmtId="171" fontId="54" fillId="7" borderId="1" xfId="0" applyNumberFormat="1" applyFont="1" applyFill="1" applyBorder="1"/>
    <xf numFmtId="0" fontId="6" fillId="0" borderId="0" xfId="0" applyFont="1" applyFill="1" applyBorder="1" applyAlignment="1">
      <alignment horizontal="left" wrapText="1"/>
    </xf>
    <xf numFmtId="164" fontId="6" fillId="0" borderId="0" xfId="0" applyNumberFormat="1" applyFont="1" applyFill="1" applyBorder="1" applyAlignment="1">
      <alignment wrapText="1"/>
    </xf>
    <xf numFmtId="164" fontId="27" fillId="0" borderId="1" xfId="2" applyNumberFormat="1" applyFont="1" applyFill="1" applyBorder="1"/>
    <xf numFmtId="164" fontId="0" fillId="0" borderId="0" xfId="0" applyNumberFormat="1" applyFill="1"/>
    <xf numFmtId="164" fontId="28" fillId="0" borderId="1" xfId="2" applyNumberFormat="1" applyFont="1" applyFill="1" applyBorder="1"/>
    <xf numFmtId="164" fontId="27" fillId="0" borderId="0" xfId="0" applyNumberFormat="1" applyFont="1" applyFill="1"/>
    <xf numFmtId="164" fontId="77" fillId="0" borderId="1" xfId="0" applyNumberFormat="1" applyFont="1" applyFill="1" applyBorder="1" applyAlignment="1">
      <alignment wrapText="1"/>
    </xf>
    <xf numFmtId="164" fontId="77" fillId="0" borderId="15" xfId="0" applyNumberFormat="1" applyFont="1" applyFill="1" applyBorder="1" applyAlignment="1">
      <alignment wrapText="1"/>
    </xf>
    <xf numFmtId="0" fontId="81" fillId="2" borderId="1" xfId="0" applyFont="1" applyFill="1" applyBorder="1"/>
    <xf numFmtId="164" fontId="73" fillId="14" borderId="1" xfId="0" applyNumberFormat="1" applyFont="1" applyFill="1" applyBorder="1"/>
    <xf numFmtId="0" fontId="82" fillId="14" borderId="0" xfId="0" applyFont="1" applyFill="1"/>
    <xf numFmtId="0" fontId="71" fillId="14" borderId="1" xfId="0" applyFont="1" applyFill="1" applyBorder="1"/>
    <xf numFmtId="0" fontId="71" fillId="14" borderId="1" xfId="0" applyFont="1" applyFill="1" applyBorder="1" applyAlignment="1">
      <alignment horizontal="center"/>
    </xf>
    <xf numFmtId="164" fontId="71" fillId="14" borderId="1" xfId="0" applyNumberFormat="1" applyFont="1" applyFill="1" applyBorder="1" applyAlignment="1">
      <alignment horizontal="center"/>
    </xf>
    <xf numFmtId="164" fontId="71" fillId="14" borderId="0" xfId="0" applyNumberFormat="1" applyFont="1" applyFill="1" applyBorder="1" applyAlignment="1">
      <alignment horizontal="center"/>
    </xf>
    <xf numFmtId="0" fontId="83" fillId="14" borderId="0" xfId="0" applyFont="1" applyFill="1"/>
    <xf numFmtId="0" fontId="79" fillId="14" borderId="1" xfId="0" applyFont="1" applyFill="1" applyBorder="1" applyAlignment="1"/>
    <xf numFmtId="0" fontId="79" fillId="14" borderId="1" xfId="0" applyFont="1" applyFill="1" applyBorder="1" applyAlignment="1">
      <alignment horizontal="center"/>
    </xf>
    <xf numFmtId="0" fontId="79" fillId="14" borderId="1" xfId="0" applyFont="1" applyFill="1" applyBorder="1" applyAlignment="1">
      <alignment horizontal="center" wrapText="1"/>
    </xf>
    <xf numFmtId="0" fontId="58" fillId="14" borderId="0" xfId="0" applyFont="1" applyFill="1"/>
    <xf numFmtId="164" fontId="58" fillId="14" borderId="0" xfId="0" applyNumberFormat="1" applyFont="1" applyFill="1"/>
    <xf numFmtId="10" fontId="0" fillId="0" borderId="1" xfId="1" applyNumberFormat="1" applyFont="1" applyBorder="1"/>
    <xf numFmtId="0" fontId="26" fillId="0" borderId="0" xfId="0" applyFont="1" applyBorder="1" applyAlignment="1"/>
    <xf numFmtId="0" fontId="82" fillId="0" borderId="0" xfId="0" applyFont="1" applyFill="1"/>
    <xf numFmtId="0" fontId="26" fillId="0" borderId="0" xfId="0" applyFont="1" applyAlignment="1">
      <alignment horizontal="center"/>
    </xf>
    <xf numFmtId="0" fontId="70" fillId="6" borderId="1" xfId="0" applyFont="1" applyFill="1" applyBorder="1"/>
    <xf numFmtId="0" fontId="69" fillId="12" borderId="0" xfId="0" applyFont="1" applyFill="1" applyAlignment="1">
      <alignment horizontal="center"/>
    </xf>
    <xf numFmtId="0" fontId="71" fillId="12" borderId="0" xfId="0" applyFont="1" applyFill="1"/>
    <xf numFmtId="0" fontId="69" fillId="0" borderId="0" xfId="0" applyFont="1"/>
    <xf numFmtId="0" fontId="70" fillId="0" borderId="0" xfId="0" applyFont="1" applyAlignment="1">
      <alignment horizontal="center"/>
    </xf>
    <xf numFmtId="0" fontId="70" fillId="0" borderId="0" xfId="0" applyFont="1"/>
    <xf numFmtId="0" fontId="69" fillId="0" borderId="0" xfId="0" applyFont="1" applyAlignment="1">
      <alignment horizontal="right"/>
    </xf>
    <xf numFmtId="0" fontId="69" fillId="0" borderId="0" xfId="0" applyFont="1" applyAlignment="1">
      <alignment horizontal="center"/>
    </xf>
    <xf numFmtId="10" fontId="69" fillId="0" borderId="0" xfId="0" applyNumberFormat="1" applyFont="1"/>
    <xf numFmtId="9" fontId="69" fillId="0" borderId="0" xfId="0" applyNumberFormat="1" applyFont="1"/>
    <xf numFmtId="9" fontId="56" fillId="0" borderId="0" xfId="0" applyNumberFormat="1" applyFont="1" applyBorder="1" applyAlignment="1">
      <alignment horizontal="right"/>
    </xf>
    <xf numFmtId="10" fontId="72" fillId="0" borderId="0" xfId="0" applyNumberFormat="1" applyFont="1" applyBorder="1"/>
    <xf numFmtId="0" fontId="69" fillId="6" borderId="0" xfId="0" applyFont="1" applyFill="1"/>
    <xf numFmtId="0" fontId="56" fillId="0" borderId="0" xfId="0" applyFont="1" applyBorder="1"/>
    <xf numFmtId="9" fontId="56" fillId="15" borderId="1" xfId="0" applyNumberFormat="1" applyFont="1" applyFill="1" applyBorder="1" applyAlignment="1">
      <alignment horizontal="right"/>
    </xf>
    <xf numFmtId="170" fontId="69" fillId="15" borderId="1" xfId="2" applyNumberFormat="1" applyFont="1" applyFill="1" applyBorder="1"/>
    <xf numFmtId="0" fontId="69" fillId="15" borderId="1" xfId="0" applyFont="1" applyFill="1" applyBorder="1"/>
    <xf numFmtId="9" fontId="69" fillId="15" borderId="0" xfId="0" applyNumberFormat="1" applyFont="1" applyFill="1"/>
    <xf numFmtId="10" fontId="69" fillId="15" borderId="0" xfId="1" applyNumberFormat="1" applyFont="1" applyFill="1"/>
    <xf numFmtId="0" fontId="70" fillId="15" borderId="1" xfId="0" applyFont="1" applyFill="1" applyBorder="1"/>
    <xf numFmtId="0" fontId="56" fillId="15" borderId="1" xfId="0" applyFont="1" applyFill="1" applyBorder="1"/>
    <xf numFmtId="0" fontId="72" fillId="15" borderId="1" xfId="0" applyFont="1" applyFill="1" applyBorder="1"/>
    <xf numFmtId="164" fontId="72" fillId="15" borderId="1" xfId="2" applyFont="1" applyFill="1" applyBorder="1"/>
    <xf numFmtId="164" fontId="69" fillId="0" borderId="0" xfId="2" applyFont="1"/>
    <xf numFmtId="170" fontId="72" fillId="15" borderId="1" xfId="2" applyNumberFormat="1" applyFont="1" applyFill="1" applyBorder="1" applyAlignment="1">
      <alignment horizontal="right"/>
    </xf>
    <xf numFmtId="13" fontId="72" fillId="15" borderId="1" xfId="2" applyNumberFormat="1" applyFont="1" applyFill="1" applyBorder="1" applyAlignment="1">
      <alignment horizontal="right"/>
    </xf>
    <xf numFmtId="170" fontId="72" fillId="0" borderId="1" xfId="0" applyNumberFormat="1" applyFont="1" applyFill="1" applyBorder="1"/>
    <xf numFmtId="170" fontId="72" fillId="0" borderId="11" xfId="0" applyNumberFormat="1" applyFont="1" applyFill="1" applyBorder="1"/>
    <xf numFmtId="0" fontId="70" fillId="6" borderId="0" xfId="0" applyFont="1" applyFill="1"/>
    <xf numFmtId="170" fontId="69" fillId="16" borderId="1" xfId="2" applyNumberFormat="1" applyFont="1" applyFill="1" applyBorder="1"/>
    <xf numFmtId="0" fontId="69" fillId="16" borderId="0" xfId="0" applyFont="1" applyFill="1"/>
    <xf numFmtId="0" fontId="56" fillId="16" borderId="1" xfId="0" applyFont="1" applyFill="1" applyBorder="1"/>
    <xf numFmtId="0" fontId="73" fillId="12" borderId="1" xfId="0" applyFont="1" applyFill="1" applyBorder="1" applyAlignment="1">
      <alignment horizontal="center"/>
    </xf>
    <xf numFmtId="0" fontId="71" fillId="12" borderId="1" xfId="0" applyFont="1" applyFill="1" applyBorder="1" applyAlignment="1">
      <alignment horizontal="center"/>
    </xf>
    <xf numFmtId="164" fontId="2" fillId="0" borderId="1" xfId="0" applyNumberFormat="1" applyFont="1" applyBorder="1"/>
    <xf numFmtId="0" fontId="84" fillId="14" borderId="0" xfId="0" applyFont="1" applyFill="1"/>
    <xf numFmtId="0" fontId="71" fillId="12" borderId="15" xfId="0" applyFont="1" applyFill="1" applyBorder="1" applyAlignment="1">
      <alignment horizontal="center"/>
    </xf>
    <xf numFmtId="0" fontId="72" fillId="0" borderId="15" xfId="0" applyFont="1" applyBorder="1"/>
    <xf numFmtId="164" fontId="2" fillId="0" borderId="0" xfId="0" applyNumberFormat="1" applyFont="1" applyBorder="1"/>
    <xf numFmtId="0" fontId="71" fillId="12" borderId="11" xfId="0" applyFont="1" applyFill="1" applyBorder="1" applyAlignment="1">
      <alignment horizontal="center"/>
    </xf>
    <xf numFmtId="0" fontId="72" fillId="0" borderId="11" xfId="0" applyFont="1" applyBorder="1"/>
    <xf numFmtId="164" fontId="72" fillId="0" borderId="11" xfId="2" applyFont="1" applyBorder="1"/>
    <xf numFmtId="164" fontId="56" fillId="0" borderId="11" xfId="2" applyFont="1" applyBorder="1"/>
    <xf numFmtId="164" fontId="2" fillId="0" borderId="11" xfId="0" applyNumberFormat="1" applyFont="1" applyBorder="1"/>
    <xf numFmtId="0" fontId="85" fillId="13" borderId="13" xfId="0" applyFont="1" applyFill="1" applyBorder="1" applyAlignment="1"/>
    <xf numFmtId="0" fontId="56" fillId="0" borderId="1" xfId="0" applyFont="1" applyFill="1" applyBorder="1" applyAlignment="1">
      <alignment wrapText="1"/>
    </xf>
    <xf numFmtId="0" fontId="53" fillId="0" borderId="0" xfId="0" applyFont="1" applyAlignment="1">
      <alignment wrapText="1"/>
    </xf>
    <xf numFmtId="0" fontId="49" fillId="0" borderId="0" xfId="0" applyFont="1" applyAlignment="1">
      <alignment wrapText="1"/>
    </xf>
    <xf numFmtId="164" fontId="46" fillId="0" borderId="0" xfId="0" applyNumberFormat="1" applyFont="1" applyAlignment="1">
      <alignment wrapText="1"/>
    </xf>
    <xf numFmtId="0" fontId="47" fillId="0" borderId="0" xfId="0" applyFont="1" applyAlignment="1">
      <alignment wrapText="1"/>
    </xf>
    <xf numFmtId="0" fontId="13" fillId="0" borderId="0" xfId="0" applyFont="1" applyAlignment="1">
      <alignment wrapText="1"/>
    </xf>
    <xf numFmtId="0" fontId="55" fillId="0" borderId="0" xfId="0" applyFont="1" applyAlignment="1">
      <alignment wrapText="1"/>
    </xf>
    <xf numFmtId="1" fontId="0" fillId="0" borderId="1" xfId="0" applyNumberFormat="1" applyBorder="1"/>
    <xf numFmtId="0" fontId="6" fillId="0" borderId="20" xfId="0" applyFont="1" applyBorder="1"/>
    <xf numFmtId="173" fontId="30" fillId="0" borderId="20" xfId="9" applyNumberFormat="1" applyFont="1" applyFill="1" applyBorder="1" applyAlignment="1">
      <alignment vertical="center"/>
    </xf>
    <xf numFmtId="0" fontId="18" fillId="0" borderId="0" xfId="0" applyFont="1" applyBorder="1"/>
    <xf numFmtId="0" fontId="14" fillId="0" borderId="0" xfId="0" applyFont="1" applyBorder="1"/>
    <xf numFmtId="0" fontId="18" fillId="0" borderId="23" xfId="0" applyFont="1" applyBorder="1"/>
    <xf numFmtId="0" fontId="17" fillId="0" borderId="23" xfId="0" applyFont="1" applyFill="1" applyBorder="1"/>
    <xf numFmtId="0" fontId="2" fillId="0" borderId="0" xfId="0" applyFont="1" applyAlignment="1">
      <alignment horizontal="center"/>
    </xf>
    <xf numFmtId="1" fontId="69" fillId="0" borderId="1" xfId="0" applyNumberFormat="1" applyFont="1" applyBorder="1"/>
    <xf numFmtId="164" fontId="0" fillId="0" borderId="0" xfId="2" applyFont="1"/>
    <xf numFmtId="2" fontId="69" fillId="0" borderId="1" xfId="0" applyNumberFormat="1" applyFont="1" applyBorder="1" applyAlignment="1">
      <alignment horizontal="center"/>
    </xf>
    <xf numFmtId="164" fontId="69" fillId="0" borderId="1" xfId="0" applyNumberFormat="1" applyFont="1" applyBorder="1" applyAlignment="1">
      <alignment horizontal="left" indent="2"/>
    </xf>
    <xf numFmtId="0" fontId="74" fillId="6" borderId="1" xfId="0" applyFont="1" applyFill="1" applyBorder="1"/>
    <xf numFmtId="0" fontId="56" fillId="6" borderId="1" xfId="0" applyFont="1" applyFill="1" applyBorder="1"/>
    <xf numFmtId="0" fontId="70" fillId="17" borderId="1" xfId="0" applyFont="1" applyFill="1" applyBorder="1"/>
    <xf numFmtId="164" fontId="27" fillId="0" borderId="1" xfId="2" applyFont="1" applyBorder="1"/>
    <xf numFmtId="164" fontId="56" fillId="4" borderId="0" xfId="0" applyNumberFormat="1" applyFont="1" applyFill="1" applyBorder="1" applyAlignment="1">
      <alignment horizontal="center"/>
    </xf>
    <xf numFmtId="9" fontId="44" fillId="7" borderId="1" xfId="3" applyNumberFormat="1" applyFont="1" applyFill="1" applyBorder="1" applyAlignment="1">
      <alignment horizontal="right" vertical="center" wrapText="1"/>
    </xf>
    <xf numFmtId="164" fontId="0" fillId="0" borderId="0" xfId="2" applyFont="1" applyBorder="1" applyAlignment="1">
      <alignment horizontal="center"/>
    </xf>
    <xf numFmtId="164" fontId="27" fillId="0" borderId="0" xfId="2" applyFont="1"/>
    <xf numFmtId="164" fontId="21" fillId="2" borderId="1" xfId="2" applyFont="1" applyFill="1" applyBorder="1" applyAlignment="1">
      <alignment horizontal="right"/>
    </xf>
    <xf numFmtId="164" fontId="44" fillId="0" borderId="1" xfId="2" applyFont="1" applyBorder="1" applyAlignment="1">
      <alignment horizontal="center" vertical="center" wrapText="1"/>
    </xf>
    <xf numFmtId="164" fontId="2" fillId="0" borderId="0" xfId="0" applyNumberFormat="1" applyFont="1" applyAlignment="1">
      <alignment horizontal="left" wrapText="1"/>
    </xf>
    <xf numFmtId="164" fontId="88" fillId="0" borderId="0" xfId="0" applyNumberFormat="1" applyFont="1"/>
    <xf numFmtId="164" fontId="27" fillId="0" borderId="1" xfId="0" applyNumberFormat="1" applyFont="1" applyBorder="1" applyAlignment="1">
      <alignment wrapText="1"/>
    </xf>
    <xf numFmtId="164" fontId="30" fillId="0" borderId="5" xfId="0" applyNumberFormat="1" applyFont="1" applyFill="1" applyBorder="1" applyAlignment="1">
      <alignment horizontal="left" vertical="center" wrapText="1"/>
    </xf>
    <xf numFmtId="170" fontId="56" fillId="0" borderId="1" xfId="2" applyNumberFormat="1" applyFont="1" applyBorder="1"/>
    <xf numFmtId="170" fontId="56" fillId="0" borderId="1" xfId="2" applyNumberFormat="1" applyFont="1" applyBorder="1" applyAlignment="1">
      <alignment horizontal="right"/>
    </xf>
    <xf numFmtId="170" fontId="69" fillId="0" borderId="0" xfId="2" applyNumberFormat="1" applyFont="1"/>
    <xf numFmtId="170" fontId="0" fillId="0" borderId="0" xfId="2" applyNumberFormat="1" applyFont="1"/>
    <xf numFmtId="176" fontId="72" fillId="0" borderId="1" xfId="0" applyNumberFormat="1" applyFont="1" applyBorder="1"/>
    <xf numFmtId="0" fontId="0" fillId="0" borderId="0" xfId="0" applyAlignment="1">
      <alignment horizontal="center"/>
    </xf>
    <xf numFmtId="10" fontId="4" fillId="0" borderId="1" xfId="1" applyNumberFormat="1" applyFont="1" applyBorder="1"/>
    <xf numFmtId="164" fontId="29" fillId="6" borderId="1" xfId="2" applyNumberFormat="1" applyFont="1" applyFill="1" applyBorder="1" applyAlignment="1">
      <alignment horizontal="left" vertical="center" wrapText="1"/>
    </xf>
    <xf numFmtId="10" fontId="44" fillId="0" borderId="1" xfId="1" applyNumberFormat="1" applyFont="1" applyBorder="1" applyAlignment="1">
      <alignment horizontal="center" vertical="center" wrapText="1"/>
    </xf>
    <xf numFmtId="9" fontId="27" fillId="0" borderId="0" xfId="0" applyNumberFormat="1" applyFont="1" applyFill="1"/>
    <xf numFmtId="0" fontId="27" fillId="0" borderId="0" xfId="0" applyNumberFormat="1" applyFont="1" applyFill="1"/>
    <xf numFmtId="167" fontId="27" fillId="0" borderId="0" xfId="0" applyNumberFormat="1" applyFont="1" applyFill="1"/>
    <xf numFmtId="9" fontId="54" fillId="7" borderId="1" xfId="1" applyFont="1" applyFill="1" applyBorder="1"/>
    <xf numFmtId="1" fontId="0" fillId="0" borderId="0" xfId="0" applyNumberFormat="1" applyFill="1"/>
    <xf numFmtId="10" fontId="28" fillId="0" borderId="0" xfId="1" applyNumberFormat="1" applyFont="1"/>
    <xf numFmtId="0" fontId="42" fillId="6" borderId="1" xfId="0" applyFont="1" applyFill="1" applyBorder="1" applyAlignment="1">
      <alignment horizontal="center" vertical="center" wrapText="1"/>
    </xf>
    <xf numFmtId="43" fontId="29" fillId="6" borderId="1" xfId="2" applyNumberFormat="1" applyFont="1" applyFill="1" applyBorder="1" applyAlignment="1">
      <alignment vertical="center" wrapText="1"/>
    </xf>
    <xf numFmtId="170" fontId="0" fillId="0" borderId="1" xfId="2" applyNumberFormat="1" applyFont="1" applyBorder="1"/>
    <xf numFmtId="164" fontId="27" fillId="0" borderId="0" xfId="2" applyFont="1" applyFill="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6" fillId="0" borderId="19" xfId="0" applyFont="1" applyBorder="1" applyAlignment="1">
      <alignment horizontal="center"/>
    </xf>
    <xf numFmtId="0" fontId="2" fillId="0" borderId="0" xfId="0" applyFont="1" applyAlignment="1">
      <alignment horizontal="center" wrapText="1"/>
    </xf>
    <xf numFmtId="0" fontId="50"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164" fontId="26" fillId="0" borderId="0" xfId="0" applyNumberFormat="1" applyFont="1" applyBorder="1" applyAlignment="1">
      <alignment horizontal="center"/>
    </xf>
    <xf numFmtId="164" fontId="46" fillId="0" borderId="0" xfId="0" applyNumberFormat="1" applyFont="1" applyAlignment="1">
      <alignment horizontal="left" wrapText="1"/>
    </xf>
    <xf numFmtId="164" fontId="86" fillId="0" borderId="0" xfId="0" applyNumberFormat="1" applyFont="1" applyAlignment="1">
      <alignment horizontal="left" wrapText="1"/>
    </xf>
    <xf numFmtId="164" fontId="2" fillId="0" borderId="0" xfId="0" applyNumberFormat="1" applyFont="1" applyAlignment="1">
      <alignment horizontal="left" wrapText="1"/>
    </xf>
    <xf numFmtId="0" fontId="15" fillId="0" borderId="0" xfId="6" applyFont="1" applyFill="1" applyBorder="1" applyAlignment="1">
      <alignment horizontal="center"/>
    </xf>
    <xf numFmtId="0" fontId="26" fillId="0" borderId="17" xfId="0" applyFont="1" applyBorder="1" applyAlignment="1">
      <alignment horizontal="center"/>
    </xf>
    <xf numFmtId="0" fontId="48" fillId="0" borderId="0" xfId="0" applyFont="1" applyAlignment="1">
      <alignment horizont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166" fontId="28" fillId="0" borderId="13" xfId="0" applyNumberFormat="1" applyFont="1" applyBorder="1" applyAlignment="1">
      <alignment horizontal="center"/>
    </xf>
    <xf numFmtId="166" fontId="2" fillId="0" borderId="13" xfId="0" applyNumberFormat="1" applyFont="1" applyBorder="1" applyAlignment="1">
      <alignment horizont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26" fillId="0" borderId="13" xfId="0" applyFont="1" applyBorder="1"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55" fillId="0" borderId="0" xfId="0" applyFont="1" applyAlignment="1">
      <alignment horizontal="center" wrapText="1"/>
    </xf>
    <xf numFmtId="0" fontId="25" fillId="0" borderId="0" xfId="0" applyFont="1" applyAlignment="1">
      <alignment horizontal="center"/>
    </xf>
    <xf numFmtId="0" fontId="56" fillId="0" borderId="0" xfId="8" applyFont="1" applyAlignment="1" applyProtection="1">
      <alignment horizontal="center" wrapText="1"/>
    </xf>
    <xf numFmtId="0" fontId="85" fillId="13" borderId="0" xfId="0" applyFont="1" applyFill="1" applyAlignment="1">
      <alignment horizontal="center"/>
    </xf>
    <xf numFmtId="0" fontId="56" fillId="0" borderId="15" xfId="0" applyFont="1" applyBorder="1" applyAlignment="1">
      <alignment horizontal="center"/>
    </xf>
    <xf numFmtId="0" fontId="56" fillId="0" borderId="21" xfId="0" applyFont="1" applyBorder="1" applyAlignment="1">
      <alignment horizontal="center"/>
    </xf>
    <xf numFmtId="0" fontId="26" fillId="0" borderId="0" xfId="0" applyFont="1" applyFill="1" applyBorder="1" applyAlignment="1">
      <alignment horizontal="center"/>
    </xf>
    <xf numFmtId="0" fontId="79" fillId="14" borderId="13" xfId="0" applyFont="1" applyFill="1" applyBorder="1" applyAlignment="1">
      <alignment horizontal="center" wrapText="1"/>
    </xf>
    <xf numFmtId="0" fontId="79" fillId="12" borderId="15" xfId="0" applyFont="1" applyFill="1" applyBorder="1" applyAlignment="1">
      <alignment horizontal="center" wrapText="1"/>
    </xf>
    <xf numFmtId="0" fontId="79" fillId="12" borderId="21" xfId="0" applyFont="1" applyFill="1" applyBorder="1" applyAlignment="1">
      <alignment horizontal="center" wrapText="1"/>
    </xf>
    <xf numFmtId="0" fontId="79" fillId="12" borderId="16" xfId="0" applyFont="1" applyFill="1" applyBorder="1" applyAlignment="1">
      <alignment horizontal="center" wrapText="1"/>
    </xf>
    <xf numFmtId="168" fontId="0" fillId="0" borderId="0" xfId="0" applyNumberFormat="1"/>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5">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investopedia.com/terms/d/discountrate.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workbookViewId="0">
      <selection activeCell="I27" sqref="I27"/>
    </sheetView>
  </sheetViews>
  <sheetFormatPr defaultColWidth="9.140625" defaultRowHeight="15"/>
  <cols>
    <col min="1" max="1" width="12.85546875" style="300" customWidth="1"/>
    <col min="2" max="2" width="56" style="300" customWidth="1"/>
    <col min="3" max="3" width="26.28515625" style="300" customWidth="1"/>
    <col min="4" max="4" width="20.7109375" style="300" customWidth="1"/>
    <col min="5" max="5" width="29.42578125" style="300" customWidth="1"/>
    <col min="6" max="16384" width="9.140625" style="300"/>
  </cols>
  <sheetData>
    <row r="1" spans="1:5" ht="26.25" customHeight="1">
      <c r="A1" s="655" t="s">
        <v>584</v>
      </c>
      <c r="B1" s="655"/>
      <c r="C1" s="655"/>
      <c r="D1" s="655"/>
      <c r="E1" s="655"/>
    </row>
    <row r="2" spans="1:5" ht="26.25" customHeight="1">
      <c r="A2" s="656" t="s">
        <v>580</v>
      </c>
      <c r="B2" s="656"/>
      <c r="C2" s="656"/>
      <c r="D2" s="656"/>
      <c r="E2" s="656"/>
    </row>
    <row r="3" spans="1:5" ht="23.25" customHeight="1">
      <c r="A3" s="657" t="s">
        <v>551</v>
      </c>
      <c r="B3" s="657"/>
      <c r="C3" s="657"/>
      <c r="D3" s="657"/>
      <c r="E3" s="657"/>
    </row>
    <row r="4" spans="1:5" ht="240.75" customHeight="1">
      <c r="A4" s="658" t="s">
        <v>585</v>
      </c>
      <c r="B4" s="658"/>
      <c r="C4" s="658"/>
      <c r="D4" s="658"/>
      <c r="E4" s="658"/>
    </row>
    <row r="5" spans="1:5" ht="23.25" customHeight="1">
      <c r="A5" s="657" t="s">
        <v>552</v>
      </c>
      <c r="B5" s="657"/>
      <c r="C5" s="657"/>
      <c r="D5" s="657"/>
      <c r="E5" s="657"/>
    </row>
    <row r="6" spans="1:5" ht="108" customHeight="1">
      <c r="A6" s="665" t="s">
        <v>623</v>
      </c>
      <c r="B6" s="666"/>
      <c r="C6" s="666"/>
      <c r="D6" s="666"/>
      <c r="E6" s="667"/>
    </row>
    <row r="7" spans="1:5" ht="23.25" customHeight="1">
      <c r="A7" s="668" t="s">
        <v>586</v>
      </c>
      <c r="B7" s="668"/>
      <c r="C7" s="668"/>
      <c r="D7" s="668"/>
      <c r="E7" s="668"/>
    </row>
    <row r="8" spans="1:5" ht="125.25" customHeight="1">
      <c r="A8" s="658" t="s">
        <v>622</v>
      </c>
      <c r="B8" s="658"/>
      <c r="C8" s="658"/>
      <c r="D8" s="658"/>
      <c r="E8" s="658"/>
    </row>
    <row r="9" spans="1:5" ht="23.25">
      <c r="A9" s="657" t="s">
        <v>577</v>
      </c>
      <c r="B9" s="657"/>
      <c r="C9" s="657"/>
      <c r="D9" s="657"/>
      <c r="E9" s="657"/>
    </row>
    <row r="10" spans="1:5">
      <c r="A10" s="300" t="s">
        <v>553</v>
      </c>
      <c r="B10" s="300" t="s">
        <v>146</v>
      </c>
    </row>
    <row r="11" spans="1:5" ht="20.25" customHeight="1">
      <c r="A11" s="304"/>
      <c r="B11" s="669" t="s">
        <v>384</v>
      </c>
      <c r="C11" s="670"/>
      <c r="D11" s="670"/>
      <c r="E11" s="671"/>
    </row>
    <row r="12" spans="1:5">
      <c r="A12" s="305"/>
      <c r="B12" s="659" t="s">
        <v>385</v>
      </c>
      <c r="C12" s="659"/>
      <c r="D12" s="659"/>
      <c r="E12" s="659"/>
    </row>
    <row r="13" spans="1:5" s="307" customFormat="1">
      <c r="A13" s="660"/>
      <c r="B13" s="660"/>
      <c r="C13" s="660"/>
      <c r="D13" s="660"/>
      <c r="E13" s="661"/>
    </row>
    <row r="14" spans="1:5" ht="23.25">
      <c r="A14" s="657" t="s">
        <v>578</v>
      </c>
      <c r="B14" s="657"/>
      <c r="C14" s="657"/>
      <c r="D14" s="657"/>
      <c r="E14" s="657"/>
    </row>
    <row r="15" spans="1:5">
      <c r="A15" s="301" t="s">
        <v>549</v>
      </c>
      <c r="B15" s="301" t="s">
        <v>587</v>
      </c>
      <c r="C15" s="301" t="s">
        <v>437</v>
      </c>
      <c r="D15" s="301" t="s">
        <v>557</v>
      </c>
      <c r="E15" s="301" t="s">
        <v>550</v>
      </c>
    </row>
    <row r="16" spans="1:5">
      <c r="A16" s="308" t="s">
        <v>167</v>
      </c>
      <c r="B16" s="308" t="s">
        <v>588</v>
      </c>
      <c r="C16" s="308"/>
      <c r="D16" s="308"/>
      <c r="E16" s="308"/>
    </row>
    <row r="17" spans="1:5" ht="60">
      <c r="A17" s="309" t="s">
        <v>567</v>
      </c>
      <c r="B17" s="302" t="s">
        <v>574</v>
      </c>
      <c r="C17" s="302" t="s">
        <v>619</v>
      </c>
      <c r="D17" s="302" t="s">
        <v>589</v>
      </c>
      <c r="E17" s="302"/>
    </row>
    <row r="18" spans="1:5" ht="90">
      <c r="A18" s="309" t="s">
        <v>568</v>
      </c>
      <c r="B18" s="302" t="s">
        <v>554</v>
      </c>
      <c r="C18" s="302" t="s">
        <v>620</v>
      </c>
      <c r="D18" s="302" t="s">
        <v>590</v>
      </c>
      <c r="E18" s="302"/>
    </row>
    <row r="19" spans="1:5" ht="26.25" customHeight="1">
      <c r="A19" s="309" t="s">
        <v>569</v>
      </c>
      <c r="B19" s="303" t="s">
        <v>581</v>
      </c>
      <c r="C19" s="302" t="s">
        <v>591</v>
      </c>
      <c r="D19" s="302" t="s">
        <v>592</v>
      </c>
      <c r="E19" s="302" t="s">
        <v>579</v>
      </c>
    </row>
    <row r="20" spans="1:5" ht="30">
      <c r="A20" s="309" t="s">
        <v>570</v>
      </c>
      <c r="B20" s="302" t="s">
        <v>621</v>
      </c>
      <c r="C20" s="302"/>
      <c r="D20" s="302"/>
      <c r="E20" s="302"/>
    </row>
    <row r="21" spans="1:5">
      <c r="A21" s="302">
        <v>4.0999999999999996</v>
      </c>
      <c r="B21" s="302" t="s">
        <v>561</v>
      </c>
      <c r="C21" s="662" t="s">
        <v>593</v>
      </c>
      <c r="D21" s="302" t="s">
        <v>594</v>
      </c>
      <c r="E21" s="302"/>
    </row>
    <row r="22" spans="1:5" ht="30">
      <c r="A22" s="302">
        <v>4.2</v>
      </c>
      <c r="B22" s="302" t="s">
        <v>565</v>
      </c>
      <c r="C22" s="663"/>
      <c r="D22" s="302" t="s">
        <v>595</v>
      </c>
      <c r="E22" s="302"/>
    </row>
    <row r="23" spans="1:5">
      <c r="A23" s="302">
        <v>4.3</v>
      </c>
      <c r="B23" s="302" t="s">
        <v>562</v>
      </c>
      <c r="C23" s="663"/>
      <c r="D23" s="302" t="s">
        <v>596</v>
      </c>
      <c r="E23" s="302"/>
    </row>
    <row r="24" spans="1:5">
      <c r="A24" s="302">
        <v>4.4000000000000004</v>
      </c>
      <c r="B24" s="302" t="s">
        <v>563</v>
      </c>
      <c r="C24" s="663"/>
      <c r="D24" s="302" t="s">
        <v>597</v>
      </c>
      <c r="E24" s="302"/>
    </row>
    <row r="25" spans="1:5">
      <c r="A25" s="302">
        <v>4.5</v>
      </c>
      <c r="B25" s="302" t="s">
        <v>564</v>
      </c>
      <c r="C25" s="663"/>
      <c r="D25" s="302" t="s">
        <v>598</v>
      </c>
      <c r="E25" s="302"/>
    </row>
    <row r="26" spans="1:5">
      <c r="A26" s="302">
        <v>4.5999999999999996</v>
      </c>
      <c r="B26" s="302" t="s">
        <v>566</v>
      </c>
      <c r="C26" s="664"/>
      <c r="D26" s="302" t="s">
        <v>599</v>
      </c>
      <c r="E26" s="302"/>
    </row>
    <row r="27" spans="1:5" ht="45">
      <c r="A27" s="309" t="s">
        <v>571</v>
      </c>
      <c r="B27" s="302" t="s">
        <v>555</v>
      </c>
      <c r="C27" s="302" t="s">
        <v>600</v>
      </c>
      <c r="D27" s="302" t="s">
        <v>625</v>
      </c>
      <c r="E27" s="302"/>
    </row>
    <row r="28" spans="1:5" ht="60">
      <c r="A28" s="309" t="s">
        <v>572</v>
      </c>
      <c r="B28" s="302" t="s">
        <v>601</v>
      </c>
      <c r="C28" s="302" t="s">
        <v>602</v>
      </c>
      <c r="D28" s="302" t="s">
        <v>603</v>
      </c>
      <c r="E28" s="302"/>
    </row>
    <row r="29" spans="1:5" ht="45">
      <c r="A29" s="309" t="s">
        <v>573</v>
      </c>
      <c r="B29" s="302" t="s">
        <v>556</v>
      </c>
      <c r="C29" s="302" t="s">
        <v>604</v>
      </c>
      <c r="D29" s="302" t="s">
        <v>605</v>
      </c>
      <c r="E29" s="302"/>
    </row>
    <row r="30" spans="1:5">
      <c r="A30" s="308" t="s">
        <v>168</v>
      </c>
      <c r="B30" s="310" t="s">
        <v>606</v>
      </c>
      <c r="C30" s="308"/>
      <c r="D30" s="308"/>
      <c r="E30" s="308"/>
    </row>
    <row r="31" spans="1:5" ht="26.25" customHeight="1">
      <c r="A31" s="311" t="s">
        <v>607</v>
      </c>
      <c r="B31" s="302" t="s">
        <v>558</v>
      </c>
      <c r="C31" s="302"/>
      <c r="D31" s="302" t="s">
        <v>608</v>
      </c>
      <c r="E31" s="302" t="s">
        <v>579</v>
      </c>
    </row>
    <row r="32" spans="1:5">
      <c r="A32" s="311" t="s">
        <v>609</v>
      </c>
      <c r="B32" s="302" t="s">
        <v>559</v>
      </c>
      <c r="C32" s="302"/>
      <c r="D32" s="302" t="s">
        <v>610</v>
      </c>
      <c r="E32" s="302" t="s">
        <v>579</v>
      </c>
    </row>
    <row r="33" spans="1:5">
      <c r="A33" s="311" t="s">
        <v>611</v>
      </c>
      <c r="B33" s="302" t="s">
        <v>560</v>
      </c>
      <c r="C33" s="302"/>
      <c r="D33" s="302" t="s">
        <v>612</v>
      </c>
      <c r="E33" s="302" t="s">
        <v>579</v>
      </c>
    </row>
    <row r="34" spans="1:5" ht="35.25" customHeight="1">
      <c r="A34" s="311" t="s">
        <v>613</v>
      </c>
      <c r="B34" s="302" t="s">
        <v>575</v>
      </c>
      <c r="C34" s="302"/>
      <c r="D34" s="302" t="s">
        <v>614</v>
      </c>
      <c r="E34" s="302" t="s">
        <v>579</v>
      </c>
    </row>
    <row r="35" spans="1:5" ht="35.25" customHeight="1">
      <c r="A35" s="311" t="s">
        <v>615</v>
      </c>
      <c r="B35" s="302" t="s">
        <v>616</v>
      </c>
      <c r="C35" s="302"/>
      <c r="D35" s="302" t="s">
        <v>624</v>
      </c>
      <c r="E35" s="302" t="s">
        <v>579</v>
      </c>
    </row>
    <row r="36" spans="1:5">
      <c r="A36" s="309" t="s">
        <v>617</v>
      </c>
      <c r="B36" s="302" t="s">
        <v>618</v>
      </c>
      <c r="C36" s="302"/>
      <c r="D36" s="302"/>
      <c r="E36" s="302"/>
    </row>
    <row r="37" spans="1:5" ht="21">
      <c r="A37" s="654"/>
      <c r="B37" s="654"/>
      <c r="C37" s="654"/>
      <c r="D37" s="654"/>
      <c r="E37" s="654"/>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4"/>
  <sheetViews>
    <sheetView view="pageBreakPreview" topLeftCell="A4" zoomScale="80" zoomScaleSheetLayoutView="80" workbookViewId="0">
      <selection activeCell="A4" sqref="A4:I36"/>
    </sheetView>
  </sheetViews>
  <sheetFormatPr defaultRowHeight="15"/>
  <cols>
    <col min="1" max="1" width="3.5703125" bestFit="1" customWidth="1"/>
    <col min="2" max="2" width="35.7109375" bestFit="1" customWidth="1"/>
    <col min="3" max="9" width="12.5703125" customWidth="1"/>
  </cols>
  <sheetData>
    <row r="1" spans="1:11">
      <c r="A1" s="703"/>
      <c r="B1" s="703"/>
      <c r="C1" s="703"/>
      <c r="D1" s="703"/>
      <c r="E1" s="703"/>
      <c r="F1" s="703"/>
      <c r="G1" s="703"/>
    </row>
    <row r="2" spans="1:11" ht="18.75">
      <c r="A2" s="674" t="s">
        <v>504</v>
      </c>
      <c r="B2" s="674"/>
      <c r="C2" s="674"/>
      <c r="D2" s="674"/>
      <c r="E2" s="674"/>
      <c r="F2" s="674"/>
      <c r="G2" s="674"/>
      <c r="H2" s="674"/>
      <c r="I2" s="674"/>
      <c r="J2" s="71"/>
    </row>
    <row r="4" spans="1:11">
      <c r="A4" s="49" t="s">
        <v>222</v>
      </c>
      <c r="B4" s="49" t="s">
        <v>0</v>
      </c>
      <c r="C4" s="50" t="s">
        <v>2</v>
      </c>
      <c r="D4" s="50" t="s">
        <v>3</v>
      </c>
      <c r="E4" s="50" t="s">
        <v>4</v>
      </c>
      <c r="F4" s="50" t="s">
        <v>5</v>
      </c>
      <c r="G4" s="50" t="s">
        <v>6</v>
      </c>
      <c r="H4" s="50" t="s">
        <v>163</v>
      </c>
      <c r="I4" s="50" t="s">
        <v>162</v>
      </c>
    </row>
    <row r="5" spans="1:11">
      <c r="A5" s="36">
        <v>1</v>
      </c>
      <c r="B5" s="36" t="s">
        <v>848</v>
      </c>
      <c r="C5" s="37"/>
      <c r="D5" s="37"/>
      <c r="E5" s="37"/>
      <c r="F5" s="37"/>
      <c r="G5" s="37"/>
      <c r="H5" s="37"/>
      <c r="I5" s="37"/>
    </row>
    <row r="6" spans="1:11">
      <c r="A6" s="36"/>
      <c r="B6" s="38" t="s">
        <v>352</v>
      </c>
      <c r="C6" s="503">
        <f>+'6.Cons Profit &amp; Loss'!B19</f>
        <v>1205.9929999999999</v>
      </c>
      <c r="D6" s="503">
        <f>+'6.Cons Profit &amp; Loss'!C19</f>
        <v>1268.7887499999999</v>
      </c>
      <c r="E6" s="503">
        <f>+'6.Cons Profit &amp; Loss'!D19</f>
        <v>1334.2346633333334</v>
      </c>
      <c r="F6" s="503">
        <f>+'6.Cons Profit &amp; Loss'!E19</f>
        <v>1403.0386190000002</v>
      </c>
      <c r="G6" s="503">
        <f>+'6.Cons Profit &amp; Loss'!F19</f>
        <v>1475.3461645333332</v>
      </c>
      <c r="H6" s="503">
        <f>+'6.Cons Profit &amp; Loss'!G19</f>
        <v>1660.7881476000002</v>
      </c>
      <c r="I6" s="503">
        <f>+'6.Cons Profit &amp; Loss'!H19</f>
        <v>1863.5252249786663</v>
      </c>
      <c r="K6" s="363"/>
    </row>
    <row r="7" spans="1:11">
      <c r="A7" s="36">
        <v>2</v>
      </c>
      <c r="B7" s="36" t="s">
        <v>223</v>
      </c>
      <c r="C7" s="503">
        <f>'1.Project Cost and MOF'!E21</f>
        <v>41.932371111111109</v>
      </c>
      <c r="D7" s="503"/>
      <c r="E7" s="503"/>
      <c r="F7" s="503"/>
      <c r="G7" s="503"/>
      <c r="H7" s="503"/>
      <c r="I7" s="503"/>
    </row>
    <row r="8" spans="1:11" ht="48" hidden="1" customHeight="1">
      <c r="A8" s="36"/>
      <c r="B8" s="508" t="str">
        <f>+'7.Balance Sheet'!A39</f>
        <v>Transfer to Investment reserve</v>
      </c>
      <c r="C8" s="503">
        <f>-'6.Cons Profit &amp; Loss'!B57</f>
        <v>-8.4976206024693006</v>
      </c>
      <c r="D8" s="503">
        <f>-'6.Cons Profit &amp; Loss'!C57</f>
        <v>-9.7606705684386821</v>
      </c>
      <c r="E8" s="503">
        <f>-'6.Cons Profit &amp; Loss'!D57</f>
        <v>-10.640207119756708</v>
      </c>
      <c r="F8" s="503">
        <f>-'6.Cons Profit &amp; Loss'!E57</f>
        <v>-11.42579320219706</v>
      </c>
      <c r="G8" s="503">
        <f>-'6.Cons Profit &amp; Loss'!F57</f>
        <v>-12.084533351073777</v>
      </c>
      <c r="H8" s="503">
        <f>-'6.Cons Profit &amp; Loss'!G57</f>
        <v>-13.907784618765453</v>
      </c>
      <c r="I8" s="503">
        <f>-'6.Cons Profit &amp; Loss'!H57</f>
        <v>-16.327805065623238</v>
      </c>
    </row>
    <row r="9" spans="1:11">
      <c r="A9" s="36">
        <v>3</v>
      </c>
      <c r="B9" s="36" t="str">
        <f>'7.Balance Sheet'!A35</f>
        <v>Smart Grant -in-Aid</v>
      </c>
      <c r="C9" s="503">
        <f>'1.Project Cost and MOF'!E19</f>
        <v>113.20029</v>
      </c>
      <c r="D9" s="503"/>
      <c r="E9" s="503"/>
      <c r="F9" s="503"/>
      <c r="G9" s="503"/>
      <c r="H9" s="503"/>
      <c r="I9" s="503"/>
    </row>
    <row r="10" spans="1:11">
      <c r="A10" s="36">
        <v>4</v>
      </c>
      <c r="B10" s="36" t="s">
        <v>224</v>
      </c>
      <c r="C10" s="503">
        <f>'1.Project Cost and MOF'!E20</f>
        <v>37.733429999999998</v>
      </c>
      <c r="D10" s="503"/>
      <c r="E10" s="503"/>
      <c r="F10" s="503"/>
      <c r="G10" s="503"/>
      <c r="H10" s="503"/>
      <c r="I10" s="503"/>
    </row>
    <row r="11" spans="1:11">
      <c r="A11" s="36">
        <v>5</v>
      </c>
      <c r="B11" s="36" t="s">
        <v>225</v>
      </c>
      <c r="C11" s="503">
        <f>'5.Closing Stock &amp; W Capital'!E55*75%</f>
        <v>12.596823333333322</v>
      </c>
      <c r="D11" s="503">
        <f>+'7.Balance Sheet'!C25-'7.Balance Sheet'!B25</f>
        <v>19.287409822274554</v>
      </c>
      <c r="E11" s="503">
        <f>+'7.Balance Sheet'!D25-'7.Balance Sheet'!C25</f>
        <v>32.941232806967051</v>
      </c>
      <c r="F11" s="503">
        <f>+'7.Balance Sheet'!E25-'7.Balance Sheet'!D25</f>
        <v>36.131627048770852</v>
      </c>
      <c r="G11" s="503">
        <f>+'7.Balance Sheet'!F25-'7.Balance Sheet'!E25</f>
        <v>39.574243020216315</v>
      </c>
      <c r="H11" s="503">
        <f>+'7.Balance Sheet'!G25-'7.Balance Sheet'!F25</f>
        <v>42.057782715028424</v>
      </c>
      <c r="I11" s="503">
        <f>+'7.Balance Sheet'!H25-'7.Balance Sheet'!G25</f>
        <v>48.884193636360322</v>
      </c>
    </row>
    <row r="12" spans="1:11">
      <c r="A12" s="36">
        <v>6</v>
      </c>
      <c r="B12" s="36" t="s">
        <v>800</v>
      </c>
      <c r="C12" s="503">
        <f>+'7.Balance Sheet'!B26</f>
        <v>98.058679999999995</v>
      </c>
      <c r="D12" s="503">
        <f>+'7.Balance Sheet'!C26-'7.Balance Sheet'!B26</f>
        <v>3.2511926875000086</v>
      </c>
      <c r="E12" s="503">
        <f>+'7.Balance Sheet'!D26-'7.Balance Sheet'!C26</f>
        <v>4.9316396135416625</v>
      </c>
      <c r="F12" s="503">
        <f>+'7.Balance Sheet'!E26-'7.Balance Sheet'!D26</f>
        <v>5.1822991358854296</v>
      </c>
      <c r="G12" s="503">
        <f>+'7.Balance Sheet'!F26-'7.Balance Sheet'!E26</f>
        <v>5.4365890926796681</v>
      </c>
      <c r="H12" s="503">
        <f>+'7.Balance Sheet'!G26-'7.Balance Sheet'!F26</f>
        <v>14.41502646398034</v>
      </c>
      <c r="I12" s="503">
        <f>+'7.Balance Sheet'!H26-'7.Balance Sheet'!G26</f>
        <v>15.586311974679404</v>
      </c>
    </row>
    <row r="13" spans="1:11">
      <c r="A13" s="36">
        <v>7</v>
      </c>
      <c r="B13" s="36" t="s">
        <v>801</v>
      </c>
      <c r="C13" s="503">
        <f>-'7.Balance Sheet'!B11-'7.Balance Sheet'!B9</f>
        <v>-114.85444444444443</v>
      </c>
      <c r="D13" s="503">
        <f>+'7.Balance Sheet'!B9+'7.Balance Sheet'!B11-'7.Balance Sheet'!C9-'7.Balance Sheet'!C11</f>
        <v>-28.967739117199415</v>
      </c>
      <c r="E13" s="503">
        <f>+'7.Balance Sheet'!C9+'7.Balance Sheet'!C11-'7.Balance Sheet'!D9-'7.Balance Sheet'!D11</f>
        <v>-48.853283356164383</v>
      </c>
      <c r="F13" s="503">
        <f>+'7.Balance Sheet'!D9+'7.Balance Sheet'!D11-'7.Balance Sheet'!E9-'7.Balance Sheet'!E11</f>
        <v>-53.357801867579894</v>
      </c>
      <c r="G13" s="503">
        <f>+'7.Balance Sheet'!E9+'7.Balance Sheet'!E11-'7.Balance Sheet'!F9-'7.Balance Sheet'!F11</f>
        <v>-58.202246452968069</v>
      </c>
      <c r="H13" s="503">
        <f>+'7.Balance Sheet'!F9+'7.Balance Sheet'!F11-'7.Balance Sheet'!G9-'7.Balance Sheet'!G11</f>
        <v>-70.49207008401828</v>
      </c>
      <c r="I13" s="503">
        <f>+'7.Balance Sheet'!G9+'7.Balance Sheet'!G11-'7.Balance Sheet'!H9-'7.Balance Sheet'!H11</f>
        <v>-80.765236823159796</v>
      </c>
    </row>
    <row r="14" spans="1:11">
      <c r="A14" s="36"/>
      <c r="B14" s="36" t="s">
        <v>226</v>
      </c>
      <c r="C14" s="504">
        <f>SUM(C6:C13)</f>
        <v>1386.1625293975305</v>
      </c>
      <c r="D14" s="504">
        <f t="shared" ref="D14:I14" si="0">SUM(D6:D13)</f>
        <v>1252.5989428241364</v>
      </c>
      <c r="E14" s="504">
        <f t="shared" si="0"/>
        <v>1312.6140452779209</v>
      </c>
      <c r="F14" s="504">
        <f t="shared" si="0"/>
        <v>1379.5689501148795</v>
      </c>
      <c r="G14" s="504">
        <f t="shared" si="0"/>
        <v>1450.0702168421874</v>
      </c>
      <c r="H14" s="504">
        <f t="shared" si="0"/>
        <v>1632.8611020762255</v>
      </c>
      <c r="I14" s="504">
        <f t="shared" si="0"/>
        <v>1830.9026887009231</v>
      </c>
    </row>
    <row r="15" spans="1:11">
      <c r="A15" s="726" t="s">
        <v>227</v>
      </c>
      <c r="B15" s="726"/>
      <c r="C15" s="505"/>
      <c r="D15" s="505"/>
      <c r="E15" s="505"/>
      <c r="F15" s="505"/>
      <c r="G15" s="505"/>
      <c r="H15" s="505"/>
      <c r="I15" s="505"/>
    </row>
    <row r="16" spans="1:11">
      <c r="A16" s="36">
        <v>1</v>
      </c>
      <c r="B16" s="36" t="s">
        <v>228</v>
      </c>
      <c r="C16" s="505"/>
      <c r="D16" s="505"/>
      <c r="E16" s="505"/>
      <c r="F16" s="505"/>
      <c r="G16" s="505"/>
      <c r="H16" s="505"/>
      <c r="I16" s="505"/>
    </row>
    <row r="17" spans="1:18">
      <c r="A17" s="40" t="s">
        <v>229</v>
      </c>
      <c r="B17" s="39" t="s">
        <v>150</v>
      </c>
      <c r="C17" s="503">
        <f>'1.Project Cost and MOF'!D5</f>
        <v>124.5</v>
      </c>
      <c r="D17" s="503"/>
      <c r="E17" s="503"/>
      <c r="F17" s="503"/>
      <c r="G17" s="503"/>
      <c r="H17" s="503"/>
      <c r="I17" s="503"/>
    </row>
    <row r="18" spans="1:18">
      <c r="A18" s="40" t="s">
        <v>230</v>
      </c>
      <c r="B18" s="41" t="s">
        <v>151</v>
      </c>
      <c r="C18" s="503">
        <f>'1.Project Cost and MOF'!D6</f>
        <v>55.183</v>
      </c>
      <c r="D18" s="503"/>
      <c r="E18" s="503"/>
      <c r="F18" s="503"/>
      <c r="G18" s="503"/>
      <c r="H18" s="503"/>
      <c r="I18" s="503"/>
    </row>
    <row r="19" spans="1:18">
      <c r="A19" s="40" t="s">
        <v>266</v>
      </c>
      <c r="B19" s="41" t="s">
        <v>318</v>
      </c>
      <c r="C19" s="503">
        <f>'1.Project Cost and MOF'!D7</f>
        <v>0</v>
      </c>
      <c r="D19" s="503"/>
      <c r="E19" s="503"/>
      <c r="F19" s="503"/>
      <c r="G19" s="503"/>
      <c r="H19" s="503"/>
      <c r="I19" s="503"/>
    </row>
    <row r="20" spans="1:18">
      <c r="A20" s="40" t="s">
        <v>268</v>
      </c>
      <c r="B20" s="41" t="s">
        <v>320</v>
      </c>
      <c r="C20" s="503">
        <f>'1.Project Cost and MOF'!D8</f>
        <v>0</v>
      </c>
      <c r="D20" s="503"/>
      <c r="E20" s="503"/>
      <c r="F20" s="503"/>
      <c r="G20" s="503"/>
      <c r="H20" s="503"/>
      <c r="I20" s="503"/>
    </row>
    <row r="21" spans="1:18">
      <c r="A21" s="40" t="s">
        <v>321</v>
      </c>
      <c r="B21" s="41" t="s">
        <v>267</v>
      </c>
      <c r="C21" s="503">
        <f>'1.Project Cost and MOF'!D9</f>
        <v>0</v>
      </c>
      <c r="D21" s="503"/>
      <c r="E21" s="503"/>
      <c r="F21" s="503"/>
      <c r="G21" s="503"/>
      <c r="H21" s="503"/>
      <c r="I21" s="503"/>
    </row>
    <row r="22" spans="1:18">
      <c r="A22" s="40" t="s">
        <v>322</v>
      </c>
      <c r="B22" s="41" t="s">
        <v>269</v>
      </c>
      <c r="C22" s="503">
        <f>'1.Project Cost and MOF'!D10</f>
        <v>8.9841499999999996</v>
      </c>
      <c r="D22" s="503"/>
      <c r="E22" s="503"/>
      <c r="F22" s="503"/>
      <c r="G22" s="503"/>
      <c r="H22" s="503"/>
      <c r="I22" s="503"/>
    </row>
    <row r="23" spans="1:18">
      <c r="A23" s="36">
        <v>2</v>
      </c>
      <c r="B23" s="36" t="s">
        <v>231</v>
      </c>
      <c r="C23" s="505"/>
      <c r="D23" s="505"/>
      <c r="E23" s="505"/>
      <c r="F23" s="505"/>
      <c r="G23" s="505"/>
      <c r="H23" s="505"/>
      <c r="I23" s="505"/>
    </row>
    <row r="24" spans="1:18">
      <c r="A24" s="40" t="s">
        <v>229</v>
      </c>
      <c r="B24" s="39" t="s">
        <v>301</v>
      </c>
      <c r="C24" s="506">
        <f>'6.Cons Profit &amp; Loss'!B29</f>
        <v>1144.1799149999999</v>
      </c>
      <c r="D24" s="506">
        <f>'6.Cons Profit &amp; Loss'!C29</f>
        <v>1199.0138649999999</v>
      </c>
      <c r="E24" s="506">
        <f>'6.Cons Profit &amp; Loss'!D29</f>
        <v>1257.360655</v>
      </c>
      <c r="F24" s="506">
        <f>'6.Cons Profit &amp; Loss'!E29</f>
        <v>1318.6713550000002</v>
      </c>
      <c r="G24" s="506">
        <f>'6.Cons Profit &amp; Loss'!F29</f>
        <v>1382.9920550000002</v>
      </c>
      <c r="H24" s="506">
        <f>'6.Cons Profit &amp; Loss'!G29</f>
        <v>1555.00665</v>
      </c>
      <c r="I24" s="506">
        <f>'6.Cons Profit &amp; Loss'!H29</f>
        <v>1741.0309400000003</v>
      </c>
      <c r="K24" s="363">
        <f t="shared" ref="K24:R24" si="1">+C6-C24-C25</f>
        <v>46.733840000000001</v>
      </c>
      <c r="L24" s="363">
        <f t="shared" si="1"/>
        <v>53.943177750000039</v>
      </c>
      <c r="M24" s="363">
        <f t="shared" si="1"/>
        <v>60.252215720833448</v>
      </c>
      <c r="N24" s="363">
        <f t="shared" si="1"/>
        <v>66.915881756874967</v>
      </c>
      <c r="O24" s="363">
        <f t="shared" si="1"/>
        <v>74.031658178051771</v>
      </c>
      <c r="P24" s="363">
        <f t="shared" si="1"/>
        <v>86.544423676954878</v>
      </c>
      <c r="Q24" s="363">
        <f t="shared" si="1"/>
        <v>102.29685735946839</v>
      </c>
      <c r="R24" s="363">
        <f t="shared" si="1"/>
        <v>0</v>
      </c>
    </row>
    <row r="25" spans="1:18">
      <c r="A25" s="40" t="s">
        <v>230</v>
      </c>
      <c r="B25" s="39" t="s">
        <v>299</v>
      </c>
      <c r="C25" s="503">
        <f>'6.Cons Profit &amp; Loss'!B40</f>
        <v>15.079244999999998</v>
      </c>
      <c r="D25" s="503">
        <f>'6.Cons Profit &amp; Loss'!C40</f>
        <v>15.831707250000001</v>
      </c>
      <c r="E25" s="503">
        <f>'6.Cons Profit &amp; Loss'!D40</f>
        <v>16.621792612499998</v>
      </c>
      <c r="F25" s="503">
        <f>'6.Cons Profit &amp; Loss'!E40</f>
        <v>17.451382243125003</v>
      </c>
      <c r="G25" s="503">
        <f>'6.Cons Profit &amp; Loss'!F40</f>
        <v>18.322451355281252</v>
      </c>
      <c r="H25" s="503">
        <f>'6.Cons Profit &amp; Loss'!G40</f>
        <v>19.237073923045315</v>
      </c>
      <c r="I25" s="503">
        <f>'6.Cons Profit &amp; Loss'!H40</f>
        <v>20.197427619197583</v>
      </c>
    </row>
    <row r="26" spans="1:18">
      <c r="A26" s="42">
        <v>3</v>
      </c>
      <c r="B26" s="36" t="s">
        <v>467</v>
      </c>
      <c r="C26" s="503"/>
      <c r="D26" s="503"/>
      <c r="E26" s="503"/>
      <c r="F26" s="503"/>
      <c r="G26" s="503"/>
      <c r="H26" s="503"/>
      <c r="I26" s="503"/>
    </row>
    <row r="27" spans="1:18">
      <c r="A27" s="40"/>
      <c r="B27" s="39" t="s">
        <v>232</v>
      </c>
      <c r="C27" s="503">
        <f>SUM('4.TL repayment sch'!E10:E21)</f>
        <v>6.8856208803382692</v>
      </c>
      <c r="D27" s="503">
        <f>SUM('4.TL repayment sch'!E22:E33)</f>
        <v>14.732881601438439</v>
      </c>
      <c r="E27" s="503">
        <f>SUM('4.TL repayment sch'!E34:E45)</f>
        <v>16.114927518223286</v>
      </c>
      <c r="F27" s="503">
        <f>SUM('4.TL repayment sch'!E46:E57)</f>
        <v>2.3980817331903381E-14</v>
      </c>
      <c r="G27" s="503">
        <f>SUM('4.TL repayment sch'!E58:E69)</f>
        <v>2.3980817331903381E-14</v>
      </c>
      <c r="H27" s="503">
        <f>SUM('4.TL repayment sch'!E70:E81)</f>
        <v>2.3980817331903381E-14</v>
      </c>
      <c r="I27" s="503">
        <f>SUM('4.TL repayment sch'!E82:E93)</f>
        <v>2.3980817331903381E-14</v>
      </c>
    </row>
    <row r="28" spans="1:18">
      <c r="A28" s="40"/>
      <c r="B28" s="39" t="s">
        <v>233</v>
      </c>
      <c r="C28" s="503">
        <f>SUM('4.TL repayment sch'!D10:D21)</f>
        <v>3.2680287267149599</v>
      </c>
      <c r="D28" s="503">
        <f>SUM('4.TL repayment sch'!D22:D33)</f>
        <v>2.1784089126680168</v>
      </c>
      <c r="E28" s="503">
        <f>SUM('4.TL repayment sch'!D34:D45)</f>
        <v>0.79636299588317172</v>
      </c>
      <c r="F28" s="503">
        <f>SUM('4.TL repayment sch'!D46:D57)</f>
        <v>2.3980817331903381E-14</v>
      </c>
      <c r="G28" s="503">
        <f>SUM('4.TL repayment sch'!D58:D69)</f>
        <v>2.3980817331903381E-14</v>
      </c>
      <c r="H28" s="503">
        <f>SUM('4.TL repayment sch'!D70:D81)</f>
        <v>2.3980817331903381E-14</v>
      </c>
      <c r="I28" s="503">
        <f>SUM('4.TL repayment sch'!D82:D93)</f>
        <v>2.3980817331903381E-14</v>
      </c>
    </row>
    <row r="29" spans="1:18">
      <c r="A29" s="40"/>
      <c r="B29" s="39" t="s">
        <v>234</v>
      </c>
      <c r="C29" s="503">
        <v>0</v>
      </c>
      <c r="D29" s="503">
        <v>0</v>
      </c>
      <c r="E29" s="503">
        <v>0</v>
      </c>
      <c r="F29" s="503">
        <v>0</v>
      </c>
      <c r="G29" s="503">
        <v>0</v>
      </c>
      <c r="H29" s="503">
        <v>0</v>
      </c>
      <c r="I29" s="503">
        <v>0</v>
      </c>
    </row>
    <row r="30" spans="1:18">
      <c r="A30" s="40"/>
      <c r="B30" s="39" t="s">
        <v>235</v>
      </c>
      <c r="C30" s="503">
        <f>+'6.Cons Profit &amp; Loss'!B52</f>
        <v>1.1337140999999991</v>
      </c>
      <c r="D30" s="507">
        <f>+'6.Cons Profit &amp; Loss'!C52</f>
        <v>2.8695809840047088</v>
      </c>
      <c r="E30" s="507">
        <f>+'6.Cons Profit &amp; Loss'!D52</f>
        <v>5.8342919366317432</v>
      </c>
      <c r="F30" s="507">
        <f>+'6.Cons Profit &amp; Loss'!E52</f>
        <v>9.0861383710211197</v>
      </c>
      <c r="G30" s="507">
        <f>+'6.Cons Profit &amp; Loss'!F52</f>
        <v>12.647820242840588</v>
      </c>
      <c r="H30" s="507">
        <f>+'6.Cons Profit &amp; Loss'!G52</f>
        <v>16.433020687193146</v>
      </c>
      <c r="I30" s="507">
        <f>+'6.Cons Profit &amp; Loss'!H52</f>
        <v>20.832598114465576</v>
      </c>
    </row>
    <row r="31" spans="1:18">
      <c r="A31" s="36">
        <v>4</v>
      </c>
      <c r="B31" s="36" t="s">
        <v>236</v>
      </c>
      <c r="C31" s="503">
        <f>+'6.Cons Profit &amp; Loss'!B55</f>
        <v>5.2835112650541367</v>
      </c>
      <c r="D31" s="503">
        <f>+'6.Cons Profit &amp; Loss'!C55</f>
        <v>7.6364353918651258</v>
      </c>
      <c r="E31" s="503">
        <f>+'6.Cons Profit &amp; Loss'!D55</f>
        <v>9.4310198224628117</v>
      </c>
      <c r="F31" s="503">
        <f>+'6.Cons Profit &amp; Loss'!E55</f>
        <v>11.020582145197009</v>
      </c>
      <c r="G31" s="503">
        <f>+'6.Cons Profit &amp; Loss'!F55</f>
        <v>12.378876198298682</v>
      </c>
      <c r="H31" s="503">
        <f>+'6.Cons Profit &amp; Loss'!G55</f>
        <v>15.02893702721024</v>
      </c>
      <c r="I31" s="503">
        <f>+'6.Cons Profit &amp; Loss'!H55</f>
        <v>18.315058459592116</v>
      </c>
    </row>
    <row r="32" spans="1:18">
      <c r="A32" s="36"/>
      <c r="B32" s="36" t="s">
        <v>237</v>
      </c>
      <c r="C32" s="508">
        <f t="shared" ref="C32:I32" si="2">SUM(C17:C31)</f>
        <v>1364.4971849721071</v>
      </c>
      <c r="D32" s="508">
        <f t="shared" si="2"/>
        <v>1242.2628791399761</v>
      </c>
      <c r="E32" s="508">
        <f t="shared" si="2"/>
        <v>1306.1590498857008</v>
      </c>
      <c r="F32" s="508">
        <f t="shared" si="2"/>
        <v>1356.2294577593434</v>
      </c>
      <c r="G32" s="508">
        <f t="shared" si="2"/>
        <v>1426.3412027964207</v>
      </c>
      <c r="H32" s="508">
        <f t="shared" si="2"/>
        <v>1605.7056816374488</v>
      </c>
      <c r="I32" s="508">
        <f t="shared" si="2"/>
        <v>1800.3760241932555</v>
      </c>
    </row>
    <row r="33" spans="1:10">
      <c r="A33" s="36"/>
      <c r="B33" s="36" t="s">
        <v>238</v>
      </c>
      <c r="C33" s="508">
        <f t="shared" ref="C33:I33" si="3">C14-C32</f>
        <v>21.665344425423427</v>
      </c>
      <c r="D33" s="508">
        <f t="shared" si="3"/>
        <v>10.336063684160308</v>
      </c>
      <c r="E33" s="508">
        <f t="shared" si="3"/>
        <v>6.4549953922200984</v>
      </c>
      <c r="F33" s="508">
        <f t="shared" si="3"/>
        <v>23.339492355536095</v>
      </c>
      <c r="G33" s="508">
        <f t="shared" si="3"/>
        <v>23.729014045766689</v>
      </c>
      <c r="H33" s="508">
        <f t="shared" si="3"/>
        <v>27.155420438776673</v>
      </c>
      <c r="I33" s="508">
        <f t="shared" si="3"/>
        <v>30.526664507667647</v>
      </c>
    </row>
    <row r="34" spans="1:10">
      <c r="A34" s="42"/>
      <c r="B34" s="39" t="s">
        <v>239</v>
      </c>
      <c r="C34" s="505"/>
      <c r="D34" s="505">
        <f t="shared" ref="D34:I34" si="4">C35</f>
        <v>21.665344425423427</v>
      </c>
      <c r="E34" s="505">
        <f t="shared" si="4"/>
        <v>32.001408109583735</v>
      </c>
      <c r="F34" s="505">
        <f t="shared" si="4"/>
        <v>38.456403501803834</v>
      </c>
      <c r="G34" s="505">
        <f t="shared" si="4"/>
        <v>61.795895857339929</v>
      </c>
      <c r="H34" s="505">
        <f t="shared" si="4"/>
        <v>85.524909903106618</v>
      </c>
      <c r="I34" s="505">
        <f t="shared" si="4"/>
        <v>112.68033034188329</v>
      </c>
    </row>
    <row r="35" spans="1:10">
      <c r="A35" s="36"/>
      <c r="B35" s="43" t="s">
        <v>240</v>
      </c>
      <c r="C35" s="508">
        <f t="shared" ref="C35:I35" si="5">C33+C34</f>
        <v>21.665344425423427</v>
      </c>
      <c r="D35" s="508">
        <f t="shared" si="5"/>
        <v>32.001408109583735</v>
      </c>
      <c r="E35" s="508">
        <f t="shared" si="5"/>
        <v>38.456403501803834</v>
      </c>
      <c r="F35" s="508">
        <f t="shared" si="5"/>
        <v>61.795895857339929</v>
      </c>
      <c r="G35" s="508">
        <f t="shared" si="5"/>
        <v>85.524909903106618</v>
      </c>
      <c r="H35" s="508">
        <f t="shared" si="5"/>
        <v>112.68033034188329</v>
      </c>
      <c r="I35" s="508">
        <f t="shared" si="5"/>
        <v>143.20699484955094</v>
      </c>
    </row>
    <row r="36" spans="1:10">
      <c r="A36" s="140"/>
      <c r="B36" s="532"/>
      <c r="C36" s="533">
        <f>+'7.Balance Sheet'!B8</f>
        <v>21.665344425423427</v>
      </c>
      <c r="D36" s="533">
        <f>+'7.Balance Sheet'!C8</f>
        <v>32.001408109583735</v>
      </c>
      <c r="E36" s="533">
        <f>+'7.Balance Sheet'!D8</f>
        <v>38.456403501803834</v>
      </c>
      <c r="F36" s="533">
        <f>+'7.Balance Sheet'!E8</f>
        <v>61.795895857339929</v>
      </c>
      <c r="G36" s="533">
        <f>+'7.Balance Sheet'!F8</f>
        <v>85.524909903106618</v>
      </c>
      <c r="H36" s="533">
        <f>+'7.Balance Sheet'!G8</f>
        <v>112.68033034188329</v>
      </c>
      <c r="I36" s="533">
        <f>+'7.Balance Sheet'!H8</f>
        <v>143.20699484955094</v>
      </c>
    </row>
    <row r="37" spans="1:10">
      <c r="C37" s="363">
        <f>+C35-C36</f>
        <v>0</v>
      </c>
      <c r="D37" s="363">
        <f t="shared" ref="D37:I37" si="6">+D35-D36</f>
        <v>0</v>
      </c>
      <c r="E37" s="363">
        <f t="shared" si="6"/>
        <v>0</v>
      </c>
      <c r="F37" s="363">
        <f t="shared" si="6"/>
        <v>0</v>
      </c>
      <c r="G37" s="363">
        <f t="shared" si="6"/>
        <v>0</v>
      </c>
      <c r="H37" s="363">
        <f t="shared" si="6"/>
        <v>0</v>
      </c>
      <c r="I37" s="363">
        <f t="shared" si="6"/>
        <v>0</v>
      </c>
    </row>
    <row r="38" spans="1:10" ht="39.950000000000003" customHeight="1">
      <c r="A38" s="727" t="s">
        <v>390</v>
      </c>
      <c r="B38" s="727"/>
      <c r="C38" s="727"/>
      <c r="D38" s="727"/>
      <c r="E38" s="727"/>
      <c r="F38" s="727"/>
      <c r="G38" s="727"/>
      <c r="H38" s="727"/>
      <c r="I38" s="727"/>
      <c r="J38" s="607"/>
    </row>
    <row r="40" spans="1:10">
      <c r="C40" s="56"/>
    </row>
    <row r="41" spans="1:10">
      <c r="C41" s="56"/>
    </row>
    <row r="42" spans="1:10">
      <c r="C42" s="56"/>
    </row>
    <row r="43" spans="1:10">
      <c r="C43" s="56"/>
    </row>
    <row r="44" spans="1:10">
      <c r="C44" s="56"/>
    </row>
  </sheetData>
  <mergeCells count="4">
    <mergeCell ref="A1:G1"/>
    <mergeCell ref="A15:B15"/>
    <mergeCell ref="A2:I2"/>
    <mergeCell ref="A38:I38"/>
  </mergeCells>
  <pageMargins left="0.7" right="0.7" top="0.75" bottom="0.75" header="0.3" footer="0.3"/>
  <pageSetup scale="6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zoomScale="80" zoomScaleSheetLayoutView="80" workbookViewId="0">
      <selection activeCell="B121" sqref="B121:I179"/>
    </sheetView>
  </sheetViews>
  <sheetFormatPr defaultRowHeight="15"/>
  <cols>
    <col min="2" max="2" width="32.7109375" bestFit="1" customWidth="1"/>
    <col min="3" max="3" width="15.7109375" customWidth="1"/>
    <col min="4" max="9" width="10.140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738" t="s">
        <v>505</v>
      </c>
      <c r="C5" s="738"/>
      <c r="D5" s="738"/>
      <c r="E5" s="738"/>
      <c r="F5" s="738"/>
      <c r="G5" s="738"/>
      <c r="H5" s="738"/>
      <c r="I5" s="738"/>
      <c r="J5" s="738"/>
    </row>
    <row r="6" spans="2:12" ht="16.5">
      <c r="B6" s="8"/>
      <c r="C6" s="8"/>
      <c r="D6" s="8"/>
      <c r="E6" s="8"/>
      <c r="F6" s="8"/>
      <c r="G6" s="8"/>
      <c r="H6" s="8"/>
      <c r="I6" s="8"/>
      <c r="J6" s="8"/>
    </row>
    <row r="7" spans="2:12" ht="15.75">
      <c r="B7" s="73" t="s">
        <v>28</v>
      </c>
      <c r="C7" s="74" t="s">
        <v>323</v>
      </c>
      <c r="D7" s="74" t="s">
        <v>2</v>
      </c>
      <c r="E7" s="74" t="s">
        <v>3</v>
      </c>
      <c r="F7" s="74" t="s">
        <v>4</v>
      </c>
      <c r="G7" s="74" t="s">
        <v>5</v>
      </c>
      <c r="H7" s="74" t="s">
        <v>6</v>
      </c>
      <c r="I7" s="74" t="s">
        <v>163</v>
      </c>
      <c r="J7" s="74" t="s">
        <v>162</v>
      </c>
      <c r="L7" s="306"/>
    </row>
    <row r="8" spans="2:12">
      <c r="B8" s="75"/>
      <c r="C8" s="75"/>
      <c r="D8" s="75"/>
      <c r="E8" s="75"/>
      <c r="F8" s="75"/>
      <c r="G8" s="75"/>
      <c r="H8" s="75"/>
      <c r="I8" s="75"/>
      <c r="J8" s="75"/>
    </row>
    <row r="9" spans="2:12">
      <c r="B9" s="75" t="s">
        <v>29</v>
      </c>
      <c r="C9" s="75"/>
      <c r="D9" s="76">
        <f>'6.Cons Profit &amp; Loss'!B56</f>
        <v>28.325402008231002</v>
      </c>
      <c r="E9" s="76">
        <f>'6.Cons Profit &amp; Loss'!C56</f>
        <v>32.535568561462277</v>
      </c>
      <c r="F9" s="76">
        <f>'6.Cons Profit &amp; Loss'!D56</f>
        <v>35.467357065855694</v>
      </c>
      <c r="G9" s="76">
        <f>'6.Cons Profit &amp; Loss'!E56</f>
        <v>38.085977340656868</v>
      </c>
      <c r="H9" s="76">
        <f>'6.Cons Profit &amp; Loss'!F56</f>
        <v>40.281777836912589</v>
      </c>
      <c r="I9" s="76">
        <f>'6.Cons Profit &amp; Loss'!G56</f>
        <v>46.359282062551507</v>
      </c>
      <c r="J9" s="76">
        <f>'6.Cons Profit &amp; Loss'!H56</f>
        <v>54.426016885410796</v>
      </c>
    </row>
    <row r="10" spans="2:12">
      <c r="B10" s="75"/>
      <c r="C10" s="75"/>
      <c r="D10" s="76"/>
      <c r="E10" s="76"/>
      <c r="F10" s="76"/>
      <c r="G10" s="76"/>
      <c r="H10" s="76"/>
      <c r="I10" s="76"/>
      <c r="J10" s="76"/>
    </row>
    <row r="11" spans="2:12">
      <c r="B11" s="77" t="s">
        <v>30</v>
      </c>
      <c r="C11" s="77"/>
      <c r="D11" s="76">
        <f>'6.Cons Profit &amp; Loss'!B46</f>
        <v>7.4397339000000002</v>
      </c>
      <c r="E11" s="76">
        <f>'6.Cons Profit &amp; Loss'!C46</f>
        <v>7.4397339000000002</v>
      </c>
      <c r="F11" s="76">
        <f>'6.Cons Profit &amp; Loss'!D46</f>
        <v>7.4397339000000002</v>
      </c>
      <c r="G11" s="76">
        <f>'6.Cons Profit &amp; Loss'!E46</f>
        <v>7.4397339000000002</v>
      </c>
      <c r="H11" s="76">
        <f>'6.Cons Profit &amp; Loss'!F46</f>
        <v>7.4397339000000002</v>
      </c>
      <c r="I11" s="76">
        <f>'6.Cons Profit &amp; Loss'!G46</f>
        <v>7.4397339000000002</v>
      </c>
      <c r="J11" s="76">
        <f>'6.Cons Profit &amp; Loss'!H46</f>
        <v>7.4397339000000002</v>
      </c>
    </row>
    <row r="12" spans="2:12">
      <c r="B12" s="75" t="s">
        <v>35</v>
      </c>
      <c r="C12" s="75"/>
      <c r="D12" s="76">
        <f>'6.Cons Profit &amp; Loss'!B47</f>
        <v>1.28345</v>
      </c>
      <c r="E12" s="76">
        <f>'6.Cons Profit &amp; Loss'!C47</f>
        <v>1.28345</v>
      </c>
      <c r="F12" s="76">
        <f>'6.Cons Profit &amp; Loss'!D47</f>
        <v>1.28345</v>
      </c>
      <c r="G12" s="76">
        <f>'6.Cons Profit &amp; Loss'!E47</f>
        <v>1.28345</v>
      </c>
      <c r="H12" s="76">
        <f>'6.Cons Profit &amp; Loss'!F47</f>
        <v>1.28345</v>
      </c>
      <c r="I12" s="76">
        <f>'6.Cons Profit &amp; Loss'!G47</f>
        <v>1.28345</v>
      </c>
      <c r="J12" s="76">
        <f>'6.Cons Profit &amp; Loss'!H47</f>
        <v>1.28345</v>
      </c>
    </row>
    <row r="13" spans="2:12">
      <c r="B13" s="75"/>
      <c r="C13" s="75"/>
      <c r="D13" s="75"/>
      <c r="E13" s="75"/>
      <c r="F13" s="75"/>
      <c r="G13" s="75"/>
      <c r="H13" s="75"/>
      <c r="I13" s="75"/>
      <c r="J13" s="75"/>
    </row>
    <row r="14" spans="2:12">
      <c r="B14" s="75" t="s">
        <v>31</v>
      </c>
      <c r="C14" s="75"/>
      <c r="D14" s="76">
        <f>SUM(D9:D12)</f>
        <v>37.048585908231004</v>
      </c>
      <c r="E14" s="76">
        <f t="shared" ref="E14:J14" si="0">SUM(E9:E12)</f>
        <v>41.258752461462279</v>
      </c>
      <c r="F14" s="76">
        <f t="shared" si="0"/>
        <v>44.190540965855696</v>
      </c>
      <c r="G14" s="76">
        <f t="shared" si="0"/>
        <v>46.80916124065687</v>
      </c>
      <c r="H14" s="76">
        <f t="shared" si="0"/>
        <v>49.004961736912591</v>
      </c>
      <c r="I14" s="76">
        <f t="shared" si="0"/>
        <v>55.08246596255151</v>
      </c>
      <c r="J14" s="76">
        <f t="shared" si="0"/>
        <v>63.149200785410798</v>
      </c>
    </row>
    <row r="15" spans="2:12">
      <c r="B15" s="75" t="s">
        <v>332</v>
      </c>
      <c r="C15" s="78">
        <f>-'1.Project Cost and MOF'!D12</f>
        <v>-192.8660911111111</v>
      </c>
      <c r="D15" s="76">
        <f>D14</f>
        <v>37.048585908231004</v>
      </c>
      <c r="E15" s="76">
        <f t="shared" ref="E15:J15" si="1">E14</f>
        <v>41.258752461462279</v>
      </c>
      <c r="F15" s="76">
        <f t="shared" si="1"/>
        <v>44.190540965855696</v>
      </c>
      <c r="G15" s="76">
        <f t="shared" si="1"/>
        <v>46.80916124065687</v>
      </c>
      <c r="H15" s="76">
        <f t="shared" si="1"/>
        <v>49.004961736912591</v>
      </c>
      <c r="I15" s="76">
        <f t="shared" si="1"/>
        <v>55.08246596255151</v>
      </c>
      <c r="J15" s="76">
        <f t="shared" si="1"/>
        <v>63.149200785410798</v>
      </c>
    </row>
    <row r="16" spans="2:12">
      <c r="B16" s="75" t="s">
        <v>271</v>
      </c>
      <c r="C16" s="641">
        <f>IRR(C15:J15)</f>
        <v>0.14727828810741528</v>
      </c>
      <c r="D16" s="76"/>
      <c r="E16" s="76"/>
      <c r="F16" s="76"/>
      <c r="G16" s="76"/>
      <c r="H16" s="76"/>
      <c r="I16" s="76"/>
      <c r="J16" s="76"/>
    </row>
    <row r="17" spans="2:19">
      <c r="B17" s="75"/>
      <c r="C17" s="75"/>
      <c r="D17" s="75"/>
      <c r="E17" s="75"/>
      <c r="F17" s="75"/>
      <c r="G17" s="75"/>
      <c r="H17" s="75"/>
      <c r="I17" s="75"/>
      <c r="J17" s="75"/>
    </row>
    <row r="18" spans="2:19" ht="16.5">
      <c r="B18" s="228" t="s">
        <v>387</v>
      </c>
      <c r="C18" s="228"/>
      <c r="D18" s="229">
        <f>1/(1+$C$16)</f>
        <v>0.87162810485120401</v>
      </c>
      <c r="E18" s="230">
        <f t="shared" ref="E18:J18" si="2">D18/(1+$C$16)</f>
        <v>0.75973555316650143</v>
      </c>
      <c r="F18" s="230">
        <f t="shared" si="2"/>
        <v>0.66220686039459875</v>
      </c>
      <c r="G18" s="230">
        <f t="shared" si="2"/>
        <v>0.57719811074520988</v>
      </c>
      <c r="H18" s="230">
        <f t="shared" si="2"/>
        <v>0.50310209539254269</v>
      </c>
      <c r="I18" s="230">
        <f t="shared" si="2"/>
        <v>0.43851792595367162</v>
      </c>
      <c r="J18" s="230">
        <f t="shared" si="2"/>
        <v>0.3822245487422794</v>
      </c>
      <c r="L18" s="17"/>
      <c r="M18" s="17"/>
      <c r="N18" s="17"/>
      <c r="O18" s="17"/>
      <c r="P18" s="17"/>
      <c r="Q18" s="17"/>
      <c r="R18" s="17"/>
      <c r="S18" s="17"/>
    </row>
    <row r="19" spans="2:19">
      <c r="B19" s="75" t="s">
        <v>32</v>
      </c>
      <c r="C19" s="75"/>
      <c r="D19" s="76">
        <f t="shared" ref="D19:J19" si="3">D14*D18</f>
        <v>32.292588722608414</v>
      </c>
      <c r="E19" s="76">
        <f t="shared" si="3"/>
        <v>31.345741124268798</v>
      </c>
      <c r="F19" s="76">
        <f t="shared" si="3"/>
        <v>29.263279392138202</v>
      </c>
      <c r="G19" s="76">
        <f t="shared" si="3"/>
        <v>27.018159433675049</v>
      </c>
      <c r="H19" s="76">
        <f t="shared" si="3"/>
        <v>24.654498934472102</v>
      </c>
      <c r="I19" s="76">
        <f t="shared" si="3"/>
        <v>24.154648730311798</v>
      </c>
      <c r="J19" s="76">
        <f t="shared" si="3"/>
        <v>24.137174773639238</v>
      </c>
      <c r="L19" s="6"/>
    </row>
    <row r="20" spans="2:19">
      <c r="B20" s="75" t="s">
        <v>33</v>
      </c>
      <c r="C20" s="75"/>
      <c r="D20" s="732">
        <f>SUM(D19:J19)</f>
        <v>192.8660911111136</v>
      </c>
      <c r="E20" s="732"/>
      <c r="F20" s="732"/>
      <c r="G20" s="732"/>
      <c r="H20" s="732"/>
      <c r="I20" s="732"/>
      <c r="J20" s="732"/>
      <c r="L20" s="6"/>
    </row>
    <row r="21" spans="2:19">
      <c r="B21" s="75"/>
      <c r="C21" s="75"/>
      <c r="D21" s="76"/>
      <c r="E21" s="76"/>
      <c r="F21" s="76"/>
      <c r="G21" s="76"/>
      <c r="H21" s="76"/>
      <c r="I21" s="76"/>
      <c r="J21" s="76"/>
    </row>
    <row r="22" spans="2:19">
      <c r="B22" s="9" t="s">
        <v>34</v>
      </c>
      <c r="C22" s="9"/>
      <c r="D22" s="733">
        <f>'1.Project Cost and MOF'!D12</f>
        <v>192.8660911111111</v>
      </c>
      <c r="E22" s="733"/>
      <c r="F22" s="733"/>
      <c r="G22" s="733"/>
      <c r="H22" s="733"/>
      <c r="I22" s="733"/>
      <c r="J22" s="733"/>
    </row>
    <row r="23" spans="2:19">
      <c r="F23" s="17">
        <f>D20-D22</f>
        <v>2.5011104298755527E-12</v>
      </c>
    </row>
    <row r="24" spans="2:19" ht="29.45" customHeight="1">
      <c r="B24" s="739" t="s">
        <v>405</v>
      </c>
      <c r="C24" s="739"/>
      <c r="D24" s="739"/>
      <c r="E24" s="739"/>
      <c r="F24" s="739"/>
      <c r="G24" s="739"/>
      <c r="H24" s="739"/>
      <c r="I24" s="739"/>
      <c r="J24" s="739"/>
    </row>
    <row r="25" spans="2:19">
      <c r="K25" s="17"/>
      <c r="L25" s="17"/>
      <c r="M25" s="17"/>
    </row>
    <row r="26" spans="2:19" ht="18.75">
      <c r="B26" s="676" t="s">
        <v>506</v>
      </c>
      <c r="C26" s="676"/>
      <c r="D26" s="676"/>
      <c r="E26" s="676"/>
      <c r="F26" s="676"/>
      <c r="G26" s="676"/>
      <c r="H26" s="676"/>
      <c r="I26" s="676"/>
    </row>
    <row r="27" spans="2:19">
      <c r="K27" s="17"/>
    </row>
    <row r="28" spans="2:19">
      <c r="B28" s="96" t="s">
        <v>0</v>
      </c>
      <c r="C28" s="89" t="s">
        <v>2</v>
      </c>
      <c r="D28" s="89" t="s">
        <v>3</v>
      </c>
      <c r="E28" s="89" t="s">
        <v>4</v>
      </c>
      <c r="F28" s="89" t="s">
        <v>5</v>
      </c>
      <c r="G28" s="89" t="s">
        <v>6</v>
      </c>
      <c r="H28" s="89" t="s">
        <v>163</v>
      </c>
      <c r="I28" s="89" t="s">
        <v>162</v>
      </c>
    </row>
    <row r="29" spans="2:19">
      <c r="B29" s="80"/>
      <c r="C29" s="80"/>
      <c r="D29" s="80"/>
      <c r="E29" s="80"/>
      <c r="F29" s="80"/>
      <c r="G29" s="80"/>
      <c r="H29" s="80"/>
      <c r="I29" s="80"/>
    </row>
    <row r="30" spans="2:19">
      <c r="B30" s="80" t="s">
        <v>26</v>
      </c>
      <c r="C30" s="80"/>
      <c r="D30" s="80"/>
      <c r="E30" s="80"/>
      <c r="F30" s="80"/>
      <c r="G30" s="80"/>
      <c r="H30" s="80"/>
      <c r="I30" s="80"/>
    </row>
    <row r="31" spans="2:19">
      <c r="B31" s="80"/>
      <c r="C31" s="81"/>
      <c r="D31" s="81"/>
      <c r="E31" s="81"/>
      <c r="F31" s="81"/>
      <c r="G31" s="81"/>
      <c r="H31" s="81"/>
      <c r="I31" s="81"/>
    </row>
    <row r="32" spans="2:19">
      <c r="B32" s="93" t="str">
        <f>'6.Cons Profit &amp; Loss'!A8</f>
        <v>Faclitiy 1 - Cleaning &amp; Grading</v>
      </c>
      <c r="C32" s="81">
        <f>'6.Cons Profit &amp; Loss'!B8</f>
        <v>0</v>
      </c>
      <c r="D32" s="81">
        <f>'6.Cons Profit &amp; Loss'!C8</f>
        <v>0</v>
      </c>
      <c r="E32" s="81">
        <f>'6.Cons Profit &amp; Loss'!D8</f>
        <v>0</v>
      </c>
      <c r="F32" s="81">
        <f>'6.Cons Profit &amp; Loss'!E8</f>
        <v>0</v>
      </c>
      <c r="G32" s="81">
        <f>'6.Cons Profit &amp; Loss'!F8</f>
        <v>0</v>
      </c>
      <c r="H32" s="81">
        <f>'6.Cons Profit &amp; Loss'!G8</f>
        <v>0</v>
      </c>
      <c r="I32" s="81">
        <f>'6.Cons Profit &amp; Loss'!H8</f>
        <v>0</v>
      </c>
    </row>
    <row r="33" spans="2:10">
      <c r="B33" s="93" t="str">
        <f>'6.Cons Profit &amp; Loss'!A9</f>
        <v>Facility 6 - Processing Unit - Horti Commodity</v>
      </c>
      <c r="C33" s="81">
        <f>'6.Cons Profit &amp; Loss'!B9</f>
        <v>0</v>
      </c>
      <c r="D33" s="81">
        <f>'6.Cons Profit &amp; Loss'!C9</f>
        <v>0</v>
      </c>
      <c r="E33" s="81">
        <f>'6.Cons Profit &amp; Loss'!D9</f>
        <v>0</v>
      </c>
      <c r="F33" s="81">
        <f>'6.Cons Profit &amp; Loss'!E9</f>
        <v>0</v>
      </c>
      <c r="G33" s="81">
        <f>'6.Cons Profit &amp; Loss'!F9</f>
        <v>0</v>
      </c>
      <c r="H33" s="81">
        <f>'6.Cons Profit &amp; Loss'!G9</f>
        <v>0</v>
      </c>
      <c r="I33" s="81">
        <f>'6.Cons Profit &amp; Loss'!H9</f>
        <v>0</v>
      </c>
    </row>
    <row r="34" spans="2:10">
      <c r="B34" s="93" t="str">
        <f>'6.Cons Profit &amp; Loss'!A10</f>
        <v>Faclitiy 3 - Warehouse</v>
      </c>
      <c r="C34" s="81">
        <f>'6.Cons Profit &amp; Loss'!B10</f>
        <v>0</v>
      </c>
      <c r="D34" s="81">
        <f>'6.Cons Profit &amp; Loss'!C10</f>
        <v>0</v>
      </c>
      <c r="E34" s="81">
        <f>'6.Cons Profit &amp; Loss'!D10</f>
        <v>0</v>
      </c>
      <c r="F34" s="81">
        <f>'6.Cons Profit &amp; Loss'!E10</f>
        <v>0</v>
      </c>
      <c r="G34" s="81">
        <f>'6.Cons Profit &amp; Loss'!F10</f>
        <v>0</v>
      </c>
      <c r="H34" s="81">
        <f>'6.Cons Profit &amp; Loss'!G10</f>
        <v>0</v>
      </c>
      <c r="I34" s="81">
        <f>'6.Cons Profit &amp; Loss'!H10</f>
        <v>0</v>
      </c>
    </row>
    <row r="35" spans="2:10">
      <c r="B35" s="93" t="str">
        <f>'6.Cons Profit &amp; Loss'!A11</f>
        <v xml:space="preserve">Faclitiy 4 - Custom Hiring </v>
      </c>
      <c r="C35" s="81">
        <f>'6.Cons Profit &amp; Loss'!B11</f>
        <v>0</v>
      </c>
      <c r="D35" s="81">
        <f>'6.Cons Profit &amp; Loss'!C11</f>
        <v>0</v>
      </c>
      <c r="E35" s="81">
        <f>'6.Cons Profit &amp; Loss'!D11</f>
        <v>0</v>
      </c>
      <c r="F35" s="81">
        <f>'6.Cons Profit &amp; Loss'!E11</f>
        <v>0</v>
      </c>
      <c r="G35" s="81">
        <f>'6.Cons Profit &amp; Loss'!F11</f>
        <v>0</v>
      </c>
      <c r="H35" s="81">
        <f>'6.Cons Profit &amp; Loss'!G11</f>
        <v>0</v>
      </c>
      <c r="I35" s="81">
        <f>'6.Cons Profit &amp; Loss'!H11</f>
        <v>0</v>
      </c>
    </row>
    <row r="36" spans="2:10">
      <c r="B36" s="93" t="str">
        <f>'6.Cons Profit &amp; Loss'!A12</f>
        <v>Faclitiy 5 - Agri Input Centre</v>
      </c>
      <c r="C36" s="81">
        <f>'6.Cons Profit &amp; Loss'!B12</f>
        <v>0</v>
      </c>
      <c r="D36" s="81">
        <f>'6.Cons Profit &amp; Loss'!C12</f>
        <v>0</v>
      </c>
      <c r="E36" s="81">
        <f>'6.Cons Profit &amp; Loss'!D12</f>
        <v>0</v>
      </c>
      <c r="F36" s="81">
        <f>'6.Cons Profit &amp; Loss'!E12</f>
        <v>0</v>
      </c>
      <c r="G36" s="81">
        <f>'6.Cons Profit &amp; Loss'!F12</f>
        <v>0</v>
      </c>
      <c r="H36" s="81">
        <f>'6.Cons Profit &amp; Loss'!G12</f>
        <v>0</v>
      </c>
      <c r="I36" s="81">
        <f>'6.Cons Profit &amp; Loss'!H12</f>
        <v>0</v>
      </c>
    </row>
    <row r="37" spans="2:10">
      <c r="B37" s="93" t="str">
        <f>'6.Cons Profit &amp; Loss'!A13</f>
        <v>Faclitiy 2 - Processing Unit- Cleaning Grading Plant</v>
      </c>
      <c r="C37" s="81">
        <f>+'6.Cons Profit &amp; Loss'!B56</f>
        <v>28.325402008231002</v>
      </c>
      <c r="D37" s="81">
        <f>+'6.Cons Profit &amp; Loss'!C56</f>
        <v>32.535568561462277</v>
      </c>
      <c r="E37" s="81">
        <f>+'6.Cons Profit &amp; Loss'!D56</f>
        <v>35.467357065855694</v>
      </c>
      <c r="F37" s="81">
        <f>+'6.Cons Profit &amp; Loss'!E56</f>
        <v>38.085977340656868</v>
      </c>
      <c r="G37" s="81">
        <f>+'6.Cons Profit &amp; Loss'!F56</f>
        <v>40.281777836912589</v>
      </c>
      <c r="H37" s="81">
        <f>+'6.Cons Profit &amp; Loss'!G56</f>
        <v>46.359282062551507</v>
      </c>
      <c r="I37" s="81">
        <f>+'6.Cons Profit &amp; Loss'!H56</f>
        <v>54.426016885410796</v>
      </c>
    </row>
    <row r="38" spans="2:10">
      <c r="B38" s="93"/>
      <c r="C38" s="93"/>
      <c r="D38" s="93"/>
      <c r="E38" s="93"/>
      <c r="F38" s="93"/>
      <c r="G38" s="93"/>
      <c r="H38" s="93"/>
      <c r="I38" s="93"/>
    </row>
    <row r="39" spans="2:10">
      <c r="B39" s="80" t="s">
        <v>26</v>
      </c>
      <c r="C39" s="81">
        <f>SUM(C32:C38)</f>
        <v>28.325402008231002</v>
      </c>
      <c r="D39" s="81">
        <f t="shared" ref="D39:I39" si="4">SUM(D32:D38)</f>
        <v>32.535568561462277</v>
      </c>
      <c r="E39" s="81">
        <f t="shared" si="4"/>
        <v>35.467357065855694</v>
      </c>
      <c r="F39" s="81">
        <f t="shared" si="4"/>
        <v>38.085977340656868</v>
      </c>
      <c r="G39" s="81">
        <f t="shared" si="4"/>
        <v>40.281777836912589</v>
      </c>
      <c r="H39" s="81">
        <f t="shared" si="4"/>
        <v>46.359282062551507</v>
      </c>
      <c r="I39" s="81">
        <f t="shared" si="4"/>
        <v>54.426016885410796</v>
      </c>
    </row>
    <row r="40" spans="2:10">
      <c r="B40" s="80"/>
      <c r="C40" s="81"/>
      <c r="D40" s="81"/>
      <c r="E40" s="81"/>
      <c r="F40" s="81"/>
      <c r="G40" s="81"/>
      <c r="H40" s="81"/>
      <c r="I40" s="81"/>
    </row>
    <row r="41" spans="2:10">
      <c r="B41" s="82" t="s">
        <v>38</v>
      </c>
      <c r="C41" s="98">
        <f>+'6.Cons Profit &amp; Loss'!B40+'6.Cons Profit &amp; Loss'!B46+'6.Cons Profit &amp; Loss'!B47+'6.Cons Profit &amp; Loss'!B52</f>
        <v>24.936142999999998</v>
      </c>
      <c r="D41" s="98">
        <f>+'6.Cons Profit &amp; Loss'!C40+'6.Cons Profit &amp; Loss'!C46+'6.Cons Profit &amp; Loss'!C47+'6.Cons Profit &amp; Loss'!C52</f>
        <v>27.424472134004709</v>
      </c>
      <c r="E41" s="98">
        <f>+'6.Cons Profit &amp; Loss'!D40+'6.Cons Profit &amp; Loss'!D46+'6.Cons Profit &amp; Loss'!D47+'6.Cons Profit &amp; Loss'!D52</f>
        <v>31.17926844913174</v>
      </c>
      <c r="F41" s="98">
        <f>+'6.Cons Profit &amp; Loss'!E40+'6.Cons Profit &amp; Loss'!E46+'6.Cons Profit &amp; Loss'!E47+'6.Cons Profit &amp; Loss'!E52</f>
        <v>35.26070451414612</v>
      </c>
      <c r="G41" s="98">
        <f>+'6.Cons Profit &amp; Loss'!F40+'6.Cons Profit &amp; Loss'!F46+'6.Cons Profit &amp; Loss'!F47+'6.Cons Profit &amp; Loss'!F52</f>
        <v>39.693455498121835</v>
      </c>
      <c r="H41" s="98">
        <f>+'6.Cons Profit &amp; Loss'!G40+'6.Cons Profit &amp; Loss'!G46+'6.Cons Profit &amp; Loss'!G47+'6.Cons Profit &amp; Loss'!G52</f>
        <v>44.39327851023846</v>
      </c>
      <c r="I41" s="98">
        <f>+'6.Cons Profit &amp; Loss'!H40+'6.Cons Profit &amp; Loss'!H46+'6.Cons Profit &amp; Loss'!H47+'6.Cons Profit &amp; Loss'!H52</f>
        <v>49.753209633663161</v>
      </c>
    </row>
    <row r="42" spans="2:10">
      <c r="B42" s="82" t="s">
        <v>36</v>
      </c>
      <c r="C42" s="98">
        <f>+C39+C41</f>
        <v>53.261545008230996</v>
      </c>
      <c r="D42" s="98">
        <f t="shared" ref="D42:I42" si="5">+D39+D41</f>
        <v>59.960040695466986</v>
      </c>
      <c r="E42" s="98">
        <f t="shared" si="5"/>
        <v>66.646625514987434</v>
      </c>
      <c r="F42" s="98">
        <f t="shared" si="5"/>
        <v>73.346681854802995</v>
      </c>
      <c r="G42" s="98">
        <f t="shared" si="5"/>
        <v>79.975233335034432</v>
      </c>
      <c r="H42" s="98">
        <f t="shared" si="5"/>
        <v>90.752560572789974</v>
      </c>
      <c r="I42" s="98">
        <f t="shared" si="5"/>
        <v>104.17922651907395</v>
      </c>
    </row>
    <row r="43" spans="2:10">
      <c r="B43" s="80"/>
      <c r="C43" s="80"/>
      <c r="D43" s="80"/>
      <c r="E43" s="80"/>
      <c r="F43" s="80"/>
      <c r="G43" s="80"/>
      <c r="H43" s="80"/>
      <c r="I43" s="80"/>
    </row>
    <row r="44" spans="2:10">
      <c r="B44" s="80" t="s">
        <v>37</v>
      </c>
      <c r="C44" s="97">
        <f t="shared" ref="C44:I44" si="6">C41/C42</f>
        <v>0.468182869951414</v>
      </c>
      <c r="D44" s="97">
        <f t="shared" si="6"/>
        <v>0.4573791447756308</v>
      </c>
      <c r="E44" s="97">
        <f t="shared" si="6"/>
        <v>0.46782966441594515</v>
      </c>
      <c r="F44" s="97">
        <f t="shared" si="6"/>
        <v>0.48074028193869994</v>
      </c>
      <c r="G44" s="97">
        <f t="shared" si="6"/>
        <v>0.49632184668767304</v>
      </c>
      <c r="H44" s="97">
        <f t="shared" si="6"/>
        <v>0.48916833012807293</v>
      </c>
      <c r="I44" s="97">
        <f t="shared" si="6"/>
        <v>0.47757322929014023</v>
      </c>
    </row>
    <row r="45" spans="2:10">
      <c r="B45" s="79"/>
      <c r="C45" s="79"/>
      <c r="D45" s="79"/>
      <c r="E45" s="79"/>
      <c r="F45" s="79"/>
      <c r="G45" s="79"/>
      <c r="H45" s="79"/>
      <c r="I45" s="79"/>
    </row>
    <row r="46" spans="2:10">
      <c r="B46" s="99" t="s">
        <v>129</v>
      </c>
      <c r="C46" s="649">
        <f>AVERAGE(C44:I44)</f>
        <v>0.47674219531251083</v>
      </c>
      <c r="D46" s="79"/>
      <c r="E46" s="79"/>
      <c r="F46" s="79"/>
      <c r="G46" s="79"/>
      <c r="H46" s="79"/>
      <c r="I46" s="79"/>
    </row>
    <row r="48" spans="2:10" ht="41.45" customHeight="1">
      <c r="B48" s="737" t="s">
        <v>406</v>
      </c>
      <c r="C48" s="737"/>
      <c r="D48" s="737"/>
      <c r="E48" s="737"/>
      <c r="F48" s="737"/>
      <c r="G48" s="737"/>
      <c r="H48" s="737"/>
      <c r="I48" s="737"/>
      <c r="J48" s="608"/>
    </row>
    <row r="51" spans="2:9" ht="18.75">
      <c r="B51" s="676" t="s">
        <v>507</v>
      </c>
      <c r="C51" s="676"/>
      <c r="D51" s="676"/>
      <c r="E51" s="676"/>
      <c r="F51" s="676"/>
      <c r="G51" s="676"/>
      <c r="H51" s="676"/>
      <c r="I51" s="676"/>
    </row>
    <row r="53" spans="2:9">
      <c r="B53" s="69" t="s">
        <v>28</v>
      </c>
      <c r="C53" s="70" t="s">
        <v>2</v>
      </c>
      <c r="D53" s="70" t="s">
        <v>3</v>
      </c>
      <c r="E53" s="70" t="s">
        <v>4</v>
      </c>
      <c r="F53" s="70" t="s">
        <v>5</v>
      </c>
      <c r="G53" s="70" t="s">
        <v>6</v>
      </c>
      <c r="H53" s="70" t="s">
        <v>163</v>
      </c>
      <c r="I53" s="70" t="s">
        <v>162</v>
      </c>
    </row>
    <row r="54" spans="2:9">
      <c r="B54" s="80"/>
      <c r="C54" s="80"/>
      <c r="D54" s="80"/>
      <c r="E54" s="80"/>
      <c r="F54" s="80"/>
      <c r="G54" s="80"/>
      <c r="H54" s="80"/>
      <c r="I54" s="80"/>
    </row>
    <row r="55" spans="2:9">
      <c r="B55" s="80" t="s">
        <v>363</v>
      </c>
      <c r="C55" s="514">
        <f>'6.Cons Profit &amp; Loss'!B56</f>
        <v>28.325402008231002</v>
      </c>
      <c r="D55" s="514">
        <f>'6.Cons Profit &amp; Loss'!C56</f>
        <v>32.535568561462277</v>
      </c>
      <c r="E55" s="514">
        <f>'6.Cons Profit &amp; Loss'!D56</f>
        <v>35.467357065855694</v>
      </c>
      <c r="F55" s="514">
        <f>'6.Cons Profit &amp; Loss'!E56</f>
        <v>38.085977340656868</v>
      </c>
      <c r="G55" s="514">
        <f>'6.Cons Profit &amp; Loss'!F56</f>
        <v>40.281777836912589</v>
      </c>
      <c r="H55" s="514">
        <f>'6.Cons Profit &amp; Loss'!G56</f>
        <v>46.359282062551507</v>
      </c>
      <c r="I55" s="514">
        <f>'6.Cons Profit &amp; Loss'!H56</f>
        <v>54.426016885410796</v>
      </c>
    </row>
    <row r="56" spans="2:9">
      <c r="B56" s="80"/>
      <c r="C56" s="514"/>
      <c r="D56" s="514"/>
      <c r="E56" s="514"/>
      <c r="F56" s="514"/>
      <c r="G56" s="514"/>
      <c r="H56" s="514"/>
      <c r="I56" s="514"/>
    </row>
    <row r="57" spans="2:9">
      <c r="B57" s="80" t="s">
        <v>39</v>
      </c>
      <c r="C57" s="514">
        <f>'6.Cons Profit &amp; Loss'!B46</f>
        <v>7.4397339000000002</v>
      </c>
      <c r="D57" s="514">
        <f>'6.Cons Profit &amp; Loss'!C46</f>
        <v>7.4397339000000002</v>
      </c>
      <c r="E57" s="514">
        <f>'6.Cons Profit &amp; Loss'!D46</f>
        <v>7.4397339000000002</v>
      </c>
      <c r="F57" s="514">
        <f>'6.Cons Profit &amp; Loss'!E46</f>
        <v>7.4397339000000002</v>
      </c>
      <c r="G57" s="514">
        <f>'6.Cons Profit &amp; Loss'!F46</f>
        <v>7.4397339000000002</v>
      </c>
      <c r="H57" s="514">
        <f>'6.Cons Profit &amp; Loss'!G46</f>
        <v>7.4397339000000002</v>
      </c>
      <c r="I57" s="514">
        <f>'6.Cons Profit &amp; Loss'!H46</f>
        <v>7.4397339000000002</v>
      </c>
    </row>
    <row r="58" spans="2:9">
      <c r="B58" s="92" t="s">
        <v>45</v>
      </c>
      <c r="C58" s="514">
        <f>'6.Cons Profit &amp; Loss'!B47</f>
        <v>1.28345</v>
      </c>
      <c r="D58" s="514">
        <f>'6.Cons Profit &amp; Loss'!C47</f>
        <v>1.28345</v>
      </c>
      <c r="E58" s="514">
        <f>'6.Cons Profit &amp; Loss'!D47</f>
        <v>1.28345</v>
      </c>
      <c r="F58" s="514">
        <f>'6.Cons Profit &amp; Loss'!E47</f>
        <v>1.28345</v>
      </c>
      <c r="G58" s="514">
        <f>'6.Cons Profit &amp; Loss'!F47</f>
        <v>1.28345</v>
      </c>
      <c r="H58" s="514">
        <f>'6.Cons Profit &amp; Loss'!G47</f>
        <v>1.28345</v>
      </c>
      <c r="I58" s="514">
        <f>'6.Cons Profit &amp; Loss'!H47</f>
        <v>1.28345</v>
      </c>
    </row>
    <row r="59" spans="2:9">
      <c r="B59" s="80"/>
      <c r="C59" s="514"/>
      <c r="D59" s="514"/>
      <c r="E59" s="514"/>
      <c r="F59" s="514"/>
      <c r="G59" s="514"/>
      <c r="H59" s="514"/>
      <c r="I59" s="514"/>
    </row>
    <row r="60" spans="2:9">
      <c r="B60" s="80" t="s">
        <v>31</v>
      </c>
      <c r="C60" s="514">
        <f>SUM(C55:C58)</f>
        <v>37.048585908231004</v>
      </c>
      <c r="D60" s="514">
        <f t="shared" ref="D60:I60" si="7">SUM(D55:D58)</f>
        <v>41.258752461462279</v>
      </c>
      <c r="E60" s="514">
        <f t="shared" si="7"/>
        <v>44.190540965855696</v>
      </c>
      <c r="F60" s="514">
        <f t="shared" si="7"/>
        <v>46.80916124065687</v>
      </c>
      <c r="G60" s="514">
        <f t="shared" si="7"/>
        <v>49.004961736912591</v>
      </c>
      <c r="H60" s="514">
        <f t="shared" si="7"/>
        <v>55.08246596255151</v>
      </c>
      <c r="I60" s="514">
        <f t="shared" si="7"/>
        <v>63.149200785410798</v>
      </c>
    </row>
    <row r="61" spans="2:9">
      <c r="B61" s="80"/>
      <c r="C61" s="514"/>
      <c r="D61" s="514"/>
      <c r="E61" s="514"/>
      <c r="F61" s="514"/>
      <c r="G61" s="514"/>
      <c r="H61" s="514"/>
      <c r="I61" s="514"/>
    </row>
    <row r="62" spans="2:9" ht="16.5">
      <c r="B62" s="11" t="s">
        <v>40</v>
      </c>
      <c r="C62" s="514">
        <f>1/1.1</f>
        <v>0.90909090909090906</v>
      </c>
      <c r="D62" s="514">
        <f t="shared" ref="D62:I62" si="8">C62/1.1</f>
        <v>0.82644628099173545</v>
      </c>
      <c r="E62" s="514">
        <f t="shared" si="8"/>
        <v>0.75131480090157765</v>
      </c>
      <c r="F62" s="514">
        <f t="shared" si="8"/>
        <v>0.68301345536507052</v>
      </c>
      <c r="G62" s="514">
        <f t="shared" si="8"/>
        <v>0.62092132305915493</v>
      </c>
      <c r="H62" s="514">
        <f t="shared" si="8"/>
        <v>0.56447393005377711</v>
      </c>
      <c r="I62" s="514">
        <f t="shared" si="8"/>
        <v>0.51315811823070645</v>
      </c>
    </row>
    <row r="63" spans="2:9">
      <c r="B63" s="80"/>
      <c r="C63" s="514"/>
      <c r="D63" s="514"/>
      <c r="E63" s="514"/>
      <c r="F63" s="514"/>
      <c r="G63" s="514"/>
      <c r="H63" s="514"/>
      <c r="I63" s="514"/>
    </row>
    <row r="64" spans="2:9" ht="16.5">
      <c r="B64" s="11" t="s">
        <v>41</v>
      </c>
      <c r="C64" s="515">
        <f>C60*C62</f>
        <v>33.680532643846369</v>
      </c>
      <c r="D64" s="515">
        <f t="shared" ref="D64:I64" si="9">D60*D62</f>
        <v>34.098142530134112</v>
      </c>
      <c r="E64" s="515">
        <f t="shared" si="9"/>
        <v>33.201007487494884</v>
      </c>
      <c r="F64" s="515">
        <f t="shared" si="9"/>
        <v>31.971286961721781</v>
      </c>
      <c r="G64" s="515">
        <f t="shared" si="9"/>
        <v>30.428225678147029</v>
      </c>
      <c r="H64" s="515">
        <f t="shared" si="9"/>
        <v>31.09261603893486</v>
      </c>
      <c r="I64" s="515">
        <f t="shared" si="9"/>
        <v>32.405525042814453</v>
      </c>
    </row>
    <row r="65" spans="2:10">
      <c r="B65" s="79"/>
      <c r="C65" s="95"/>
      <c r="D65" s="95"/>
      <c r="E65" s="95"/>
      <c r="F65" s="95"/>
      <c r="G65" s="95"/>
      <c r="H65" s="95"/>
      <c r="I65" s="95"/>
    </row>
    <row r="66" spans="2:10" ht="16.5">
      <c r="B66" s="12" t="s">
        <v>42</v>
      </c>
      <c r="C66" s="95">
        <f>SUM(C64:I64)</f>
        <v>226.87733638309348</v>
      </c>
      <c r="D66" s="95"/>
      <c r="E66" s="95"/>
      <c r="F66" s="95"/>
      <c r="G66" s="95"/>
      <c r="H66" s="95"/>
      <c r="I66" s="95"/>
    </row>
    <row r="67" spans="2:10">
      <c r="B67" s="79"/>
      <c r="C67" s="95"/>
      <c r="D67" s="95"/>
      <c r="E67" s="95"/>
      <c r="F67" s="95"/>
      <c r="G67" s="95"/>
      <c r="H67" s="95"/>
      <c r="I67" s="95"/>
    </row>
    <row r="68" spans="2:10" ht="16.5">
      <c r="B68" s="12" t="s">
        <v>43</v>
      </c>
      <c r="C68" s="95">
        <f>'1.Project Cost and MOF'!D12</f>
        <v>192.8660911111111</v>
      </c>
      <c r="D68" s="95"/>
      <c r="E68" s="95"/>
      <c r="F68" s="95"/>
      <c r="G68" s="95"/>
      <c r="H68" s="95"/>
      <c r="I68" s="95"/>
    </row>
    <row r="69" spans="2:10">
      <c r="B69" s="79"/>
      <c r="C69" s="94"/>
      <c r="D69" s="79"/>
      <c r="E69" s="79"/>
      <c r="F69" s="79"/>
      <c r="G69" s="79"/>
      <c r="H69" s="79"/>
      <c r="I69" s="79"/>
    </row>
    <row r="70" spans="2:10" ht="16.5">
      <c r="B70" s="12" t="s">
        <v>44</v>
      </c>
      <c r="C70" s="94">
        <f>C66-C68</f>
        <v>34.011245271982375</v>
      </c>
      <c r="D70" s="79"/>
      <c r="E70" s="79"/>
      <c r="F70" s="79"/>
      <c r="G70" s="79"/>
      <c r="H70" s="79"/>
      <c r="I70" s="79"/>
    </row>
    <row r="72" spans="2:10" ht="35.1" customHeight="1">
      <c r="B72" s="681" t="s">
        <v>407</v>
      </c>
      <c r="C72" s="681"/>
      <c r="D72" s="681"/>
      <c r="E72" s="681"/>
      <c r="F72" s="681"/>
      <c r="G72" s="681"/>
      <c r="H72" s="681"/>
      <c r="I72" s="681"/>
      <c r="J72" s="603"/>
    </row>
    <row r="73" spans="2:10" ht="18.75">
      <c r="B73" s="676" t="s">
        <v>508</v>
      </c>
      <c r="C73" s="676"/>
      <c r="D73" s="676"/>
      <c r="E73" s="676"/>
      <c r="F73" s="676"/>
      <c r="G73" s="676"/>
      <c r="H73" s="676"/>
      <c r="I73" s="676"/>
    </row>
    <row r="74" spans="2:10">
      <c r="B74" s="79"/>
      <c r="C74" s="79"/>
      <c r="D74" s="79"/>
      <c r="E74" s="79"/>
      <c r="F74" s="79"/>
      <c r="G74" s="79"/>
      <c r="H74" s="79"/>
      <c r="I74" s="79"/>
    </row>
    <row r="75" spans="2:10" ht="15.75">
      <c r="B75" s="60" t="s">
        <v>0</v>
      </c>
      <c r="C75" s="60" t="s">
        <v>2</v>
      </c>
      <c r="D75" s="60" t="s">
        <v>3</v>
      </c>
      <c r="E75" s="60" t="s">
        <v>4</v>
      </c>
      <c r="F75" s="60" t="s">
        <v>5</v>
      </c>
      <c r="G75" s="60" t="s">
        <v>6</v>
      </c>
      <c r="H75" s="60" t="s">
        <v>163</v>
      </c>
      <c r="I75" s="60" t="s">
        <v>162</v>
      </c>
    </row>
    <row r="76" spans="2:10" ht="15.75">
      <c r="B76" s="58"/>
      <c r="C76" s="59"/>
      <c r="D76" s="59"/>
      <c r="E76" s="59"/>
      <c r="F76" s="59"/>
      <c r="G76" s="59"/>
      <c r="H76" s="59"/>
      <c r="I76" s="59"/>
    </row>
    <row r="77" spans="2:10">
      <c r="B77" s="82" t="s">
        <v>26</v>
      </c>
      <c r="C77" s="81">
        <f>'6.Cons Profit &amp; Loss'!B56</f>
        <v>28.325402008231002</v>
      </c>
      <c r="D77" s="81">
        <f>'6.Cons Profit &amp; Loss'!C56</f>
        <v>32.535568561462277</v>
      </c>
      <c r="E77" s="81">
        <f>'6.Cons Profit &amp; Loss'!D56</f>
        <v>35.467357065855694</v>
      </c>
      <c r="F77" s="81">
        <f>'6.Cons Profit &amp; Loss'!E56</f>
        <v>38.085977340656868</v>
      </c>
      <c r="G77" s="81">
        <f>'6.Cons Profit &amp; Loss'!F56</f>
        <v>40.281777836912589</v>
      </c>
      <c r="H77" s="81">
        <f>'6.Cons Profit &amp; Loss'!G56</f>
        <v>46.359282062551507</v>
      </c>
      <c r="I77" s="81">
        <f>'6.Cons Profit &amp; Loss'!H56</f>
        <v>54.426016885410796</v>
      </c>
    </row>
    <row r="78" spans="2:10">
      <c r="B78" s="80"/>
      <c r="C78" s="80"/>
      <c r="D78" s="80"/>
      <c r="E78" s="80"/>
      <c r="F78" s="80"/>
      <c r="G78" s="80"/>
      <c r="H78" s="80"/>
      <c r="I78" s="80"/>
    </row>
    <row r="79" spans="2:10">
      <c r="B79" s="82" t="s">
        <v>121</v>
      </c>
      <c r="C79" s="735">
        <f>AVERAGE(C77:I77)</f>
        <v>39.354483108725823</v>
      </c>
      <c r="D79" s="735"/>
      <c r="E79" s="735"/>
      <c r="F79" s="735"/>
      <c r="G79" s="735"/>
      <c r="H79" s="735"/>
      <c r="I79" s="735"/>
    </row>
    <row r="80" spans="2:10">
      <c r="B80" s="82" t="s">
        <v>122</v>
      </c>
      <c r="C80" s="735">
        <f>'1.Project Cost and MOF'!D12</f>
        <v>192.8660911111111</v>
      </c>
      <c r="D80" s="735"/>
      <c r="E80" s="735"/>
      <c r="F80" s="735"/>
      <c r="G80" s="735"/>
      <c r="H80" s="735"/>
      <c r="I80" s="735"/>
    </row>
    <row r="81" spans="2:10">
      <c r="B81" s="80"/>
      <c r="C81" s="80"/>
      <c r="D81" s="80"/>
      <c r="E81" s="80"/>
      <c r="F81" s="80"/>
      <c r="G81" s="80"/>
      <c r="H81" s="80"/>
      <c r="I81" s="80"/>
    </row>
    <row r="82" spans="2:10">
      <c r="B82" s="227" t="s">
        <v>123</v>
      </c>
      <c r="C82" s="736">
        <f>C79/C80</f>
        <v>0.20405081516404827</v>
      </c>
      <c r="D82" s="736"/>
      <c r="E82" s="736"/>
      <c r="F82" s="736"/>
      <c r="G82" s="736"/>
      <c r="H82" s="736"/>
      <c r="I82" s="736"/>
    </row>
    <row r="85" spans="2:10">
      <c r="B85" s="734" t="s">
        <v>408</v>
      </c>
      <c r="C85" s="734"/>
      <c r="D85" s="734"/>
      <c r="E85" s="734"/>
      <c r="F85" s="734"/>
      <c r="G85" s="734"/>
      <c r="H85" s="734"/>
      <c r="I85" s="734"/>
    </row>
    <row r="87" spans="2:10" ht="18.75">
      <c r="B87" s="676" t="s">
        <v>509</v>
      </c>
      <c r="C87" s="676"/>
      <c r="D87" s="676"/>
      <c r="E87" s="676"/>
      <c r="F87" s="676"/>
      <c r="G87" s="676"/>
      <c r="H87" s="676"/>
      <c r="I87" s="676"/>
      <c r="J87" s="676"/>
    </row>
    <row r="89" spans="2:10">
      <c r="B89" s="89" t="s">
        <v>0</v>
      </c>
      <c r="C89" s="89" t="s">
        <v>323</v>
      </c>
      <c r="D89" s="89" t="s">
        <v>2</v>
      </c>
      <c r="E89" s="89" t="s">
        <v>3</v>
      </c>
      <c r="F89" s="89" t="s">
        <v>4</v>
      </c>
      <c r="G89" s="89" t="s">
        <v>5</v>
      </c>
      <c r="H89" s="89" t="s">
        <v>6</v>
      </c>
      <c r="I89" s="89" t="s">
        <v>163</v>
      </c>
      <c r="J89" s="89" t="s">
        <v>162</v>
      </c>
    </row>
    <row r="90" spans="2:10">
      <c r="B90" s="90"/>
      <c r="C90" s="90"/>
      <c r="D90" s="91"/>
      <c r="E90" s="91"/>
      <c r="F90" s="91"/>
      <c r="G90" s="91"/>
      <c r="H90" s="91"/>
      <c r="I90" s="91"/>
      <c r="J90" s="91"/>
    </row>
    <row r="91" spans="2:10">
      <c r="B91" s="23" t="s">
        <v>272</v>
      </c>
      <c r="C91" s="516">
        <f>'1.Project Cost and MOF'!D12</f>
        <v>192.8660911111111</v>
      </c>
      <c r="D91" s="517"/>
      <c r="E91" s="517"/>
      <c r="F91" s="517"/>
      <c r="G91" s="517"/>
      <c r="H91" s="517"/>
      <c r="I91" s="517"/>
      <c r="J91" s="517"/>
    </row>
    <row r="92" spans="2:10">
      <c r="B92" s="24" t="str">
        <f>B55</f>
        <v>Profit after Tax &amp; Dividend</v>
      </c>
      <c r="C92" s="518"/>
      <c r="D92" s="519">
        <f>'6.Cons Profit &amp; Loss'!B56</f>
        <v>28.325402008231002</v>
      </c>
      <c r="E92" s="519">
        <f>'6.Cons Profit &amp; Loss'!C56</f>
        <v>32.535568561462277</v>
      </c>
      <c r="F92" s="519">
        <f>'6.Cons Profit &amp; Loss'!D56</f>
        <v>35.467357065855694</v>
      </c>
      <c r="G92" s="519">
        <f>'6.Cons Profit &amp; Loss'!E56</f>
        <v>38.085977340656868</v>
      </c>
      <c r="H92" s="519">
        <f>'6.Cons Profit &amp; Loss'!F56</f>
        <v>40.281777836912589</v>
      </c>
      <c r="I92" s="519">
        <f>'6.Cons Profit &amp; Loss'!G56</f>
        <v>46.359282062551507</v>
      </c>
      <c r="J92" s="519">
        <f>'6.Cons Profit &amp; Loss'!H56</f>
        <v>54.426016885410796</v>
      </c>
    </row>
    <row r="93" spans="2:10">
      <c r="B93" s="24" t="str">
        <f>B57</f>
        <v>Add: Deprication</v>
      </c>
      <c r="C93" s="518"/>
      <c r="D93" s="520">
        <f>'6.Cons Profit &amp; Loss'!B46</f>
        <v>7.4397339000000002</v>
      </c>
      <c r="E93" s="520">
        <f>'6.Cons Profit &amp; Loss'!C46</f>
        <v>7.4397339000000002</v>
      </c>
      <c r="F93" s="520">
        <f>'6.Cons Profit &amp; Loss'!D46</f>
        <v>7.4397339000000002</v>
      </c>
      <c r="G93" s="520">
        <f>'6.Cons Profit &amp; Loss'!E46</f>
        <v>7.4397339000000002</v>
      </c>
      <c r="H93" s="520">
        <f>'6.Cons Profit &amp; Loss'!F46</f>
        <v>7.4397339000000002</v>
      </c>
      <c r="I93" s="520">
        <f>'6.Cons Profit &amp; Loss'!G46</f>
        <v>7.4397339000000002</v>
      </c>
      <c r="J93" s="520">
        <f>'6.Cons Profit &amp; Loss'!H46</f>
        <v>7.4397339000000002</v>
      </c>
    </row>
    <row r="94" spans="2:10">
      <c r="B94" s="24" t="str">
        <f>B58</f>
        <v>Add. Preliminary exp Written off</v>
      </c>
      <c r="C94" s="518"/>
      <c r="D94" s="520">
        <f>'6.Cons Profit &amp; Loss'!B47</f>
        <v>1.28345</v>
      </c>
      <c r="E94" s="520">
        <f>'6.Cons Profit &amp; Loss'!C47</f>
        <v>1.28345</v>
      </c>
      <c r="F94" s="520">
        <f>'6.Cons Profit &amp; Loss'!D47</f>
        <v>1.28345</v>
      </c>
      <c r="G94" s="520">
        <f>'6.Cons Profit &amp; Loss'!E47</f>
        <v>1.28345</v>
      </c>
      <c r="H94" s="520">
        <f>'6.Cons Profit &amp; Loss'!F47</f>
        <v>1.28345</v>
      </c>
      <c r="I94" s="520">
        <f>'6.Cons Profit &amp; Loss'!G47</f>
        <v>1.28345</v>
      </c>
      <c r="J94" s="520">
        <f>'6.Cons Profit &amp; Loss'!H47</f>
        <v>1.28345</v>
      </c>
    </row>
    <row r="95" spans="2:10">
      <c r="B95" s="24" t="str">
        <f>B60</f>
        <v xml:space="preserve">Net Cash Accrual (A)      </v>
      </c>
      <c r="C95" s="518"/>
      <c r="D95" s="518">
        <f>SUM(D92:D94)</f>
        <v>37.048585908231004</v>
      </c>
      <c r="E95" s="518">
        <f t="shared" ref="E95:J95" si="10">SUM(E92:E94)</f>
        <v>41.258752461462279</v>
      </c>
      <c r="F95" s="518">
        <f t="shared" si="10"/>
        <v>44.190540965855696</v>
      </c>
      <c r="G95" s="518">
        <f t="shared" si="10"/>
        <v>46.80916124065687</v>
      </c>
      <c r="H95" s="518">
        <f t="shared" si="10"/>
        <v>49.004961736912591</v>
      </c>
      <c r="I95" s="518">
        <f t="shared" si="10"/>
        <v>55.08246596255151</v>
      </c>
      <c r="J95" s="518">
        <f t="shared" si="10"/>
        <v>63.149200785410798</v>
      </c>
    </row>
    <row r="96" spans="2:10">
      <c r="B96" s="23" t="s">
        <v>273</v>
      </c>
      <c r="C96" s="521"/>
      <c r="D96" s="522">
        <f>D95-C91</f>
        <v>-155.81750520288011</v>
      </c>
      <c r="E96" s="522">
        <f>D96+E95</f>
        <v>-114.55875274141783</v>
      </c>
      <c r="F96" s="522">
        <f>E96+F95</f>
        <v>-70.368211775562145</v>
      </c>
      <c r="G96" s="522">
        <f>F96+G95</f>
        <v>-23.559050534905275</v>
      </c>
      <c r="H96" s="522">
        <f>G96+H95</f>
        <v>25.445911202007316</v>
      </c>
      <c r="I96" s="523"/>
      <c r="J96" s="523"/>
    </row>
    <row r="97" spans="2:10">
      <c r="B97" s="7"/>
      <c r="C97" s="7"/>
      <c r="D97" s="7"/>
      <c r="E97" s="7"/>
      <c r="F97" s="7"/>
      <c r="G97" s="7"/>
      <c r="H97" s="7"/>
      <c r="I97" s="7"/>
      <c r="J97" s="7"/>
    </row>
    <row r="98" spans="2:10">
      <c r="B98" s="25" t="s">
        <v>274</v>
      </c>
      <c r="C98" s="7"/>
      <c r="D98" s="53">
        <f>4+(-G96/H95)</f>
        <v>4.4807482691525014</v>
      </c>
      <c r="E98" s="7"/>
      <c r="F98" s="7"/>
      <c r="G98" s="7"/>
      <c r="H98" s="7"/>
      <c r="I98" s="7"/>
      <c r="J98" s="7"/>
    </row>
    <row r="99" spans="2:10">
      <c r="B99" s="7"/>
      <c r="C99" s="7"/>
      <c r="D99" s="7"/>
      <c r="E99" s="7"/>
      <c r="F99" s="7"/>
      <c r="G99" s="7"/>
      <c r="H99" s="7"/>
      <c r="I99" s="7"/>
      <c r="J99" s="7"/>
    </row>
    <row r="100" spans="2:10">
      <c r="B100" s="734" t="s">
        <v>409</v>
      </c>
      <c r="C100" s="734"/>
      <c r="D100" s="734"/>
      <c r="E100" s="734"/>
      <c r="F100" s="734"/>
      <c r="G100" s="734"/>
      <c r="H100" s="734"/>
      <c r="I100" s="734"/>
      <c r="J100" s="734"/>
    </row>
    <row r="102" spans="2:10" ht="18.75">
      <c r="B102" s="676" t="s">
        <v>510</v>
      </c>
      <c r="C102" s="676"/>
      <c r="D102" s="676"/>
      <c r="E102" s="676"/>
      <c r="F102" s="676"/>
      <c r="G102" s="676"/>
      <c r="H102" s="676"/>
      <c r="I102" s="676"/>
    </row>
    <row r="104" spans="2:10" ht="15.75">
      <c r="B104" s="60" t="s">
        <v>0</v>
      </c>
      <c r="C104" s="60" t="s">
        <v>2</v>
      </c>
      <c r="D104" s="60" t="s">
        <v>3</v>
      </c>
      <c r="E104" s="60" t="s">
        <v>4</v>
      </c>
      <c r="F104" s="60" t="s">
        <v>5</v>
      </c>
      <c r="G104" s="60" t="s">
        <v>6</v>
      </c>
      <c r="H104" s="60" t="s">
        <v>163</v>
      </c>
      <c r="I104" s="60" t="s">
        <v>162</v>
      </c>
    </row>
    <row r="105" spans="2:10" ht="15.75">
      <c r="B105" s="58"/>
      <c r="C105" s="59"/>
      <c r="D105" s="59"/>
      <c r="E105" s="59"/>
      <c r="F105" s="59"/>
      <c r="G105" s="59"/>
      <c r="H105" s="59"/>
      <c r="I105" s="59"/>
    </row>
    <row r="106" spans="2:10">
      <c r="B106" s="80" t="s">
        <v>326</v>
      </c>
      <c r="C106" s="81">
        <f>+'6.Cons Profit &amp; Loss'!B58</f>
        <v>19.827781405761701</v>
      </c>
      <c r="D106" s="81">
        <f>+'6.Cons Profit &amp; Loss'!C58</f>
        <v>22.774897993023593</v>
      </c>
      <c r="E106" s="81">
        <f>+'6.Cons Profit &amp; Loss'!D58</f>
        <v>24.827149946098984</v>
      </c>
      <c r="F106" s="81">
        <f>+'6.Cons Profit &amp; Loss'!E58</f>
        <v>26.660184138459808</v>
      </c>
      <c r="G106" s="81">
        <f>+'6.Cons Profit &amp; Loss'!F58</f>
        <v>28.197244485838812</v>
      </c>
      <c r="H106" s="81">
        <f>+'6.Cons Profit &amp; Loss'!G58</f>
        <v>32.451497443786053</v>
      </c>
      <c r="I106" s="81">
        <f>+'6.Cons Profit &amp; Loss'!H58</f>
        <v>38.098211819787558</v>
      </c>
    </row>
    <row r="107" spans="2:10">
      <c r="B107" s="80" t="s">
        <v>336</v>
      </c>
      <c r="C107" s="81">
        <f>'6.Cons Profit &amp; Loss'!B46</f>
        <v>7.4397339000000002</v>
      </c>
      <c r="D107" s="81">
        <f>'6.Cons Profit &amp; Loss'!C46</f>
        <v>7.4397339000000002</v>
      </c>
      <c r="E107" s="81">
        <f>'6.Cons Profit &amp; Loss'!D46</f>
        <v>7.4397339000000002</v>
      </c>
      <c r="F107" s="81">
        <f>'6.Cons Profit &amp; Loss'!E46</f>
        <v>7.4397339000000002</v>
      </c>
      <c r="G107" s="81">
        <f>'6.Cons Profit &amp; Loss'!F46</f>
        <v>7.4397339000000002</v>
      </c>
      <c r="H107" s="81">
        <f>'6.Cons Profit &amp; Loss'!G46</f>
        <v>7.4397339000000002</v>
      </c>
      <c r="I107" s="81">
        <f>'6.Cons Profit &amp; Loss'!H46</f>
        <v>7.4397339000000002</v>
      </c>
    </row>
    <row r="108" spans="2:10">
      <c r="B108" s="80" t="s">
        <v>337</v>
      </c>
      <c r="C108" s="81">
        <f>'6.Cons Profit &amp; Loss'!B47</f>
        <v>1.28345</v>
      </c>
      <c r="D108" s="81">
        <f>'6.Cons Profit &amp; Loss'!C47</f>
        <v>1.28345</v>
      </c>
      <c r="E108" s="81">
        <f>'6.Cons Profit &amp; Loss'!D47</f>
        <v>1.28345</v>
      </c>
      <c r="F108" s="81">
        <f>'6.Cons Profit &amp; Loss'!E47</f>
        <v>1.28345</v>
      </c>
      <c r="G108" s="81">
        <f>'6.Cons Profit &amp; Loss'!F47</f>
        <v>1.28345</v>
      </c>
      <c r="H108" s="81">
        <f>'6.Cons Profit &amp; Loss'!G47</f>
        <v>1.28345</v>
      </c>
      <c r="I108" s="81">
        <f>'6.Cons Profit &amp; Loss'!H47</f>
        <v>1.28345</v>
      </c>
    </row>
    <row r="109" spans="2:10">
      <c r="B109" s="80" t="s">
        <v>338</v>
      </c>
      <c r="C109" s="81">
        <f>'8.Cash Flow '!C28</f>
        <v>3.2680287267149599</v>
      </c>
      <c r="D109" s="81">
        <f>'8.Cash Flow '!D28</f>
        <v>2.1784089126680168</v>
      </c>
      <c r="E109" s="81">
        <f>'8.Cash Flow '!E28</f>
        <v>0.79636299588317172</v>
      </c>
      <c r="F109" s="81">
        <f>'8.Cash Flow '!F28</f>
        <v>2.3980817331903381E-14</v>
      </c>
      <c r="G109" s="81">
        <f>'8.Cash Flow '!G28</f>
        <v>2.3980817331903381E-14</v>
      </c>
      <c r="H109" s="81">
        <f>'8.Cash Flow '!H28</f>
        <v>2.3980817331903381E-14</v>
      </c>
      <c r="I109" s="81">
        <f>'8.Cash Flow '!I28</f>
        <v>2.3980817331903381E-14</v>
      </c>
    </row>
    <row r="110" spans="2:10">
      <c r="B110" s="82" t="s">
        <v>1</v>
      </c>
      <c r="C110" s="83">
        <f>SUM(C106:C109)</f>
        <v>31.81899403247666</v>
      </c>
      <c r="D110" s="83">
        <f t="shared" ref="D110:I110" si="11">SUM(D106:D109)</f>
        <v>33.676490805691607</v>
      </c>
      <c r="E110" s="83">
        <f t="shared" si="11"/>
        <v>34.346696841982158</v>
      </c>
      <c r="F110" s="83">
        <f t="shared" si="11"/>
        <v>35.383368038459828</v>
      </c>
      <c r="G110" s="83">
        <f t="shared" si="11"/>
        <v>36.920428385838839</v>
      </c>
      <c r="H110" s="83">
        <f t="shared" si="11"/>
        <v>41.174681343786077</v>
      </c>
      <c r="I110" s="83">
        <f t="shared" si="11"/>
        <v>46.821395719787581</v>
      </c>
    </row>
    <row r="111" spans="2:10">
      <c r="B111" s="80"/>
      <c r="C111" s="80"/>
      <c r="D111" s="80"/>
      <c r="E111" s="80"/>
      <c r="F111" s="80"/>
      <c r="G111" s="80"/>
      <c r="H111" s="80"/>
      <c r="I111" s="80"/>
    </row>
    <row r="112" spans="2:10">
      <c r="B112" s="84" t="s">
        <v>275</v>
      </c>
      <c r="C112" s="85">
        <f>'8.Cash Flow '!C27+'8.Cash Flow '!C28</f>
        <v>10.153649607053229</v>
      </c>
      <c r="D112" s="85">
        <f>'8.Cash Flow '!D27+'8.Cash Flow '!D28</f>
        <v>16.911290514106454</v>
      </c>
      <c r="E112" s="85">
        <f>'8.Cash Flow '!E27+'8.Cash Flow '!E28</f>
        <v>16.911290514106458</v>
      </c>
      <c r="F112" s="85">
        <f>'8.Cash Flow '!F27+'8.Cash Flow '!F28</f>
        <v>4.7961634663806763E-14</v>
      </c>
      <c r="G112" s="85">
        <f>'8.Cash Flow '!G27+'8.Cash Flow '!G28</f>
        <v>4.7961634663806763E-14</v>
      </c>
      <c r="H112" s="85">
        <f>'8.Cash Flow '!H27+'8.Cash Flow '!H28</f>
        <v>4.7961634663806763E-14</v>
      </c>
      <c r="I112" s="85">
        <f>'8.Cash Flow '!I27+'8.Cash Flow '!I28</f>
        <v>4.7961634663806763E-14</v>
      </c>
    </row>
    <row r="113" spans="2:18">
      <c r="B113" s="80"/>
      <c r="C113" s="80"/>
      <c r="D113" s="80"/>
      <c r="E113" s="80"/>
      <c r="F113" s="80"/>
      <c r="G113" s="80"/>
      <c r="H113" s="80"/>
      <c r="I113" s="80"/>
    </row>
    <row r="114" spans="2:18">
      <c r="B114" s="86" t="s">
        <v>324</v>
      </c>
      <c r="C114" s="87">
        <f>C110/C112</f>
        <v>3.1337494658446365</v>
      </c>
      <c r="D114" s="87">
        <f t="shared" ref="D114:E114" si="12">D110/D112</f>
        <v>1.9913613794051115</v>
      </c>
      <c r="E114" s="87">
        <f t="shared" si="12"/>
        <v>2.0309920649362656</v>
      </c>
      <c r="F114" s="87">
        <v>0</v>
      </c>
      <c r="G114" s="87">
        <v>0</v>
      </c>
      <c r="H114" s="87">
        <v>0</v>
      </c>
      <c r="I114" s="87">
        <v>0</v>
      </c>
    </row>
    <row r="115" spans="2:18">
      <c r="B115" s="79"/>
      <c r="C115" s="79"/>
      <c r="D115" s="79"/>
      <c r="E115" s="79"/>
      <c r="F115" s="79"/>
      <c r="G115" s="79"/>
      <c r="H115" s="79"/>
      <c r="I115" s="79"/>
    </row>
    <row r="116" spans="2:18">
      <c r="B116" s="79" t="s">
        <v>325</v>
      </c>
      <c r="C116" s="628">
        <f>AVERAGE(C114:E114)</f>
        <v>2.3853676367286711</v>
      </c>
      <c r="D116" s="79"/>
      <c r="E116" s="79"/>
      <c r="F116" s="79"/>
      <c r="G116" s="79"/>
      <c r="H116" s="79"/>
      <c r="I116" s="79"/>
    </row>
    <row r="118" spans="2:18" ht="29.45" customHeight="1">
      <c r="B118" s="681" t="s">
        <v>410</v>
      </c>
      <c r="C118" s="681"/>
      <c r="D118" s="681"/>
      <c r="E118" s="681"/>
      <c r="F118" s="681"/>
      <c r="G118" s="681"/>
      <c r="H118" s="681"/>
      <c r="I118" s="681"/>
      <c r="J118" s="681"/>
    </row>
    <row r="120" spans="2:18" ht="21">
      <c r="B120" s="729" t="s">
        <v>511</v>
      </c>
      <c r="C120" s="730"/>
      <c r="D120" s="730"/>
      <c r="E120" s="730"/>
      <c r="F120" s="730"/>
      <c r="G120" s="730"/>
      <c r="H120" s="730"/>
      <c r="I120" s="730"/>
      <c r="K120" s="731"/>
      <c r="L120" s="731"/>
      <c r="M120" s="731"/>
      <c r="N120" s="731"/>
      <c r="O120" s="731"/>
      <c r="P120" s="731"/>
      <c r="Q120" s="731"/>
      <c r="R120" s="731"/>
    </row>
    <row r="121" spans="2:18">
      <c r="B121" s="69" t="s">
        <v>339</v>
      </c>
      <c r="C121" s="70" t="s">
        <v>2</v>
      </c>
      <c r="D121" s="70" t="s">
        <v>3</v>
      </c>
      <c r="E121" s="70" t="s">
        <v>4</v>
      </c>
      <c r="F121" s="70" t="s">
        <v>5</v>
      </c>
      <c r="G121" s="70" t="s">
        <v>6</v>
      </c>
      <c r="H121" s="70" t="s">
        <v>163</v>
      </c>
      <c r="I121" s="70" t="s">
        <v>162</v>
      </c>
    </row>
    <row r="122" spans="2:18">
      <c r="B122" s="61" t="str">
        <f>'6.Cons Profit &amp; Loss'!A8</f>
        <v>Faclitiy 1 - Cleaning &amp; Grading</v>
      </c>
      <c r="C122" s="283">
        <f>'6.Cons Profit &amp; Loss'!B8*(1+$M$123)</f>
        <v>0</v>
      </c>
      <c r="D122" s="283">
        <f>'6.Cons Profit &amp; Loss'!C8*(1+$M$123)</f>
        <v>0</v>
      </c>
      <c r="E122" s="283">
        <f>'6.Cons Profit &amp; Loss'!D8*(1+$M$123)</f>
        <v>0</v>
      </c>
      <c r="F122" s="283">
        <f>'6.Cons Profit &amp; Loss'!E8*(1+$M$123)</f>
        <v>0</v>
      </c>
      <c r="G122" s="283">
        <f>'6.Cons Profit &amp; Loss'!F8*(1+$M$123)</f>
        <v>0</v>
      </c>
      <c r="H122" s="283">
        <f>'6.Cons Profit &amp; Loss'!G8*(1+$M$123)</f>
        <v>0</v>
      </c>
      <c r="I122" s="283">
        <f>'6.Cons Profit &amp; Loss'!H8*(1+$M$123)</f>
        <v>0</v>
      </c>
    </row>
    <row r="123" spans="2:18">
      <c r="B123" s="61" t="str">
        <f>'6.Cons Profit &amp; Loss'!A9</f>
        <v>Facility 6 - Processing Unit - Horti Commodity</v>
      </c>
      <c r="C123" s="283">
        <f>'6.Cons Profit &amp; Loss'!B9*(1+$M$123)</f>
        <v>0</v>
      </c>
      <c r="D123" s="283">
        <f>'6.Cons Profit &amp; Loss'!C9*(1+$M$123)</f>
        <v>0</v>
      </c>
      <c r="E123" s="283">
        <f>'6.Cons Profit &amp; Loss'!D9*(1+$M$123)</f>
        <v>0</v>
      </c>
      <c r="F123" s="283">
        <f>'6.Cons Profit &amp; Loss'!E9*(1+$M$123)</f>
        <v>0</v>
      </c>
      <c r="G123" s="283">
        <f>'6.Cons Profit &amp; Loss'!F9*(1+$M$123)</f>
        <v>0</v>
      </c>
      <c r="H123" s="283">
        <f>'6.Cons Profit &amp; Loss'!G9*(1+$M$123)</f>
        <v>0</v>
      </c>
      <c r="I123" s="283">
        <f>'6.Cons Profit &amp; Loss'!H9*(1+$M$123)</f>
        <v>0</v>
      </c>
      <c r="L123" s="5" t="s">
        <v>358</v>
      </c>
      <c r="M123" s="234">
        <v>0.05</v>
      </c>
    </row>
    <row r="124" spans="2:18">
      <c r="B124" s="61" t="str">
        <f>'6.Cons Profit &amp; Loss'!A10</f>
        <v>Faclitiy 3 - Warehouse</v>
      </c>
      <c r="C124" s="283">
        <f>'6.Cons Profit &amp; Loss'!B10*(1+$M$123)</f>
        <v>0</v>
      </c>
      <c r="D124" s="283">
        <f>'6.Cons Profit &amp; Loss'!C10*(1+$M$123)</f>
        <v>0</v>
      </c>
      <c r="E124" s="283">
        <f>'6.Cons Profit &amp; Loss'!D10*(1+$M$123)</f>
        <v>0</v>
      </c>
      <c r="F124" s="283">
        <f>'6.Cons Profit &amp; Loss'!E10*(1+$M$123)</f>
        <v>0</v>
      </c>
      <c r="G124" s="283">
        <f>'6.Cons Profit &amp; Loss'!F10*(1+$M$123)</f>
        <v>0</v>
      </c>
      <c r="H124" s="283">
        <f>'6.Cons Profit &amp; Loss'!G10*(1+$M$123)</f>
        <v>0</v>
      </c>
      <c r="I124" s="283">
        <f>'6.Cons Profit &amp; Loss'!H10*(1+$M$123)</f>
        <v>0</v>
      </c>
      <c r="L124" s="5" t="s">
        <v>359</v>
      </c>
      <c r="M124" s="234">
        <v>0.05</v>
      </c>
    </row>
    <row r="125" spans="2:18">
      <c r="B125" s="61" t="str">
        <f>'6.Cons Profit &amp; Loss'!A11</f>
        <v xml:space="preserve">Faclitiy 4 - Custom Hiring </v>
      </c>
      <c r="C125" s="283">
        <f>'6.Cons Profit &amp; Loss'!B11*(1+$M$123)</f>
        <v>0</v>
      </c>
      <c r="D125" s="283">
        <f>'6.Cons Profit &amp; Loss'!C11*(1+$M$123)</f>
        <v>0</v>
      </c>
      <c r="E125" s="283">
        <f>'6.Cons Profit &amp; Loss'!D11*(1+$M$123)</f>
        <v>0</v>
      </c>
      <c r="F125" s="283">
        <f>'6.Cons Profit &amp; Loss'!E11*(1+$M$123)</f>
        <v>0</v>
      </c>
      <c r="G125" s="283">
        <f>'6.Cons Profit &amp; Loss'!F11*(1+$M$123)</f>
        <v>0</v>
      </c>
      <c r="H125" s="283">
        <f>'6.Cons Profit &amp; Loss'!G11*(1+$M$123)</f>
        <v>0</v>
      </c>
      <c r="I125" s="283">
        <f>'6.Cons Profit &amp; Loss'!H11*(1+$M$123)</f>
        <v>0</v>
      </c>
    </row>
    <row r="126" spans="2:18">
      <c r="B126" s="61" t="str">
        <f>'6.Cons Profit &amp; Loss'!A12</f>
        <v>Faclitiy 5 - Agri Input Centre</v>
      </c>
      <c r="C126" s="283">
        <f>'6.Cons Profit &amp; Loss'!B12*(1+$M$123)</f>
        <v>0</v>
      </c>
      <c r="D126" s="283">
        <f>'6.Cons Profit &amp; Loss'!C12*(1+$M$123)</f>
        <v>0</v>
      </c>
      <c r="E126" s="283">
        <f>'6.Cons Profit &amp; Loss'!D12*(1+$M$123)</f>
        <v>0</v>
      </c>
      <c r="F126" s="283">
        <f>'6.Cons Profit &amp; Loss'!E12*(1+$M$123)</f>
        <v>0</v>
      </c>
      <c r="G126" s="283">
        <f>'6.Cons Profit &amp; Loss'!F12*(1+$M$123)</f>
        <v>0</v>
      </c>
      <c r="H126" s="283">
        <f>'6.Cons Profit &amp; Loss'!G12*(1+$M$123)</f>
        <v>0</v>
      </c>
      <c r="I126" s="283">
        <f>'6.Cons Profit &amp; Loss'!H12*(1+$M$123)</f>
        <v>0</v>
      </c>
    </row>
    <row r="127" spans="2:18">
      <c r="B127" s="61" t="str">
        <f>'6.Cons Profit &amp; Loss'!A13</f>
        <v>Faclitiy 2 - Processing Unit- Cleaning Grading Plant</v>
      </c>
      <c r="C127" s="283">
        <f>+SUM('6.Cons Profit &amp; Loss'!B13:B15)*(1+$M$123)</f>
        <v>1215.1971999999998</v>
      </c>
      <c r="D127" s="283">
        <f>+SUM('6.Cons Profit &amp; Loss'!C13:C15)*(1+$M$123)</f>
        <v>1287.2361774999999</v>
      </c>
      <c r="E127" s="283">
        <f>+SUM('6.Cons Profit &amp; Loss'!D13:D15)*(1+$M$123)</f>
        <v>1352.4667327500003</v>
      </c>
      <c r="F127" s="283">
        <f>+SUM('6.Cons Profit &amp; Loss'!E13:E15)*(1+$M$123)</f>
        <v>1420.1015087000001</v>
      </c>
      <c r="G127" s="283">
        <f>+SUM('6.Cons Profit &amp; Loss'!F13:F15)*(1+$M$123)</f>
        <v>1491.0839802599999</v>
      </c>
      <c r="H127" s="283">
        <f>+SUM('6.Cons Profit &amp; Loss'!G13:G15)*(1+$M$123)</f>
        <v>1676.1325674800003</v>
      </c>
      <c r="I127" s="283">
        <f>+SUM('6.Cons Profit &amp; Loss'!H13:H15)*(1+$M$123)</f>
        <v>1878.7654462275998</v>
      </c>
    </row>
    <row r="128" spans="2:18">
      <c r="B128" s="61" t="s">
        <v>796</v>
      </c>
      <c r="C128" s="283">
        <f>+'6.Cons Profit &amp; Loss'!B18-'6.Cons Profit &amp; Loss'!B17</f>
        <v>48.662333333333329</v>
      </c>
      <c r="D128" s="283">
        <f>+'6.Cons Profit &amp; Loss'!C18-'6.Cons Profit &amp; Loss'!C17</f>
        <v>42.849533333333348</v>
      </c>
      <c r="E128" s="283">
        <f>+'6.Cons Profit &amp; Loss'!D18-'6.Cons Profit &amp; Loss'!D17</f>
        <v>46.171108333333322</v>
      </c>
      <c r="F128" s="283">
        <f>+'6.Cons Profit &amp; Loss'!E18-'6.Cons Profit &amp; Loss'!E17</f>
        <v>50.560991666666666</v>
      </c>
      <c r="G128" s="283">
        <f>+'6.Cons Profit &amp; Loss'!F18-'6.Cons Profit &amp; Loss'!F17</f>
        <v>55.266183333333345</v>
      </c>
      <c r="H128" s="283">
        <f>+'6.Cons Profit &amp; Loss'!G18-'6.Cons Profit &amp; Loss'!G17</f>
        <v>64.471416666666698</v>
      </c>
      <c r="I128" s="283">
        <f>+'6.Cons Profit &amp; Loss'!H18-'6.Cons Profit &amp; Loss'!H17</f>
        <v>74.224799999999959</v>
      </c>
    </row>
    <row r="129" spans="2:9">
      <c r="B129" s="61" t="s">
        <v>340</v>
      </c>
      <c r="C129" s="283">
        <f t="shared" ref="C129:I129" si="13">SUM(C122:C128)</f>
        <v>1263.8595333333333</v>
      </c>
      <c r="D129" s="283">
        <f t="shared" si="13"/>
        <v>1330.0857108333332</v>
      </c>
      <c r="E129" s="283">
        <f t="shared" si="13"/>
        <v>1398.6378410833336</v>
      </c>
      <c r="F129" s="283">
        <f t="shared" si="13"/>
        <v>1470.6625003666668</v>
      </c>
      <c r="G129" s="283">
        <f t="shared" si="13"/>
        <v>1546.3501635933333</v>
      </c>
      <c r="H129" s="283">
        <f t="shared" si="13"/>
        <v>1740.603984146667</v>
      </c>
      <c r="I129" s="283">
        <f t="shared" si="13"/>
        <v>1952.9902462275998</v>
      </c>
    </row>
    <row r="130" spans="2:9">
      <c r="B130" s="61" t="s">
        <v>341</v>
      </c>
      <c r="C130" s="283"/>
      <c r="D130" s="283"/>
      <c r="E130" s="283"/>
      <c r="F130" s="283"/>
      <c r="G130" s="283"/>
      <c r="H130" s="283"/>
      <c r="I130" s="283"/>
    </row>
    <row r="131" spans="2:9">
      <c r="B131" s="61" t="s">
        <v>342</v>
      </c>
      <c r="C131" s="283">
        <f>'6.Cons Profit &amp; Loss'!B40</f>
        <v>15.079244999999998</v>
      </c>
      <c r="D131" s="283">
        <f>'6.Cons Profit &amp; Loss'!C40</f>
        <v>15.831707250000001</v>
      </c>
      <c r="E131" s="283">
        <f>'6.Cons Profit &amp; Loss'!D40</f>
        <v>16.621792612499998</v>
      </c>
      <c r="F131" s="283">
        <f>'6.Cons Profit &amp; Loss'!E40</f>
        <v>17.451382243125003</v>
      </c>
      <c r="G131" s="283">
        <f>'6.Cons Profit &amp; Loss'!F40</f>
        <v>18.322451355281252</v>
      </c>
      <c r="H131" s="283">
        <f>'6.Cons Profit &amp; Loss'!G40</f>
        <v>19.237073923045315</v>
      </c>
      <c r="I131" s="283">
        <f>'6.Cons Profit &amp; Loss'!H40</f>
        <v>20.197427619197583</v>
      </c>
    </row>
    <row r="132" spans="2:9">
      <c r="B132" s="61" t="s">
        <v>301</v>
      </c>
      <c r="C132" s="283">
        <f>'6.Cons Profit &amp; Loss'!B29*(1+M123)</f>
        <v>1201.3889107499999</v>
      </c>
      <c r="D132" s="283">
        <f>'6.Cons Profit &amp; Loss'!C29*(1+N123)</f>
        <v>1199.0138649999999</v>
      </c>
      <c r="E132" s="283">
        <f>'6.Cons Profit &amp; Loss'!D29*(1+O123)</f>
        <v>1257.360655</v>
      </c>
      <c r="F132" s="283">
        <f>'6.Cons Profit &amp; Loss'!E29*(1+P123)</f>
        <v>1318.6713550000002</v>
      </c>
      <c r="G132" s="283">
        <f>'6.Cons Profit &amp; Loss'!F29*(1+Q123)</f>
        <v>1382.9920550000002</v>
      </c>
      <c r="H132" s="283">
        <f>'6.Cons Profit &amp; Loss'!G29*(1+R123)</f>
        <v>1555.00665</v>
      </c>
      <c r="I132" s="283">
        <f>'6.Cons Profit &amp; Loss'!H29*(1+S123)</f>
        <v>1741.0309400000003</v>
      </c>
    </row>
    <row r="133" spans="2:9">
      <c r="B133" s="61" t="s">
        <v>343</v>
      </c>
      <c r="C133" s="283">
        <f t="shared" ref="C133:I133" si="14">SUM(C131:C132)</f>
        <v>1216.4681557499998</v>
      </c>
      <c r="D133" s="283">
        <f t="shared" si="14"/>
        <v>1214.8455722499998</v>
      </c>
      <c r="E133" s="283">
        <f t="shared" si="14"/>
        <v>1273.9824476125</v>
      </c>
      <c r="F133" s="283">
        <f t="shared" si="14"/>
        <v>1336.1227372431251</v>
      </c>
      <c r="G133" s="283">
        <f t="shared" si="14"/>
        <v>1401.3145063552813</v>
      </c>
      <c r="H133" s="283">
        <f t="shared" si="14"/>
        <v>1574.2437239230453</v>
      </c>
      <c r="I133" s="283">
        <f t="shared" si="14"/>
        <v>1761.2283676191978</v>
      </c>
    </row>
    <row r="134" spans="2:9">
      <c r="B134" s="64" t="s">
        <v>344</v>
      </c>
      <c r="C134" s="284">
        <f t="shared" ref="C134:I134" si="15">+C129-C133</f>
        <v>47.391377583333451</v>
      </c>
      <c r="D134" s="284">
        <f t="shared" si="15"/>
        <v>115.24013858333342</v>
      </c>
      <c r="E134" s="284">
        <f t="shared" si="15"/>
        <v>124.65539347083359</v>
      </c>
      <c r="F134" s="284">
        <f t="shared" si="15"/>
        <v>134.53976312354166</v>
      </c>
      <c r="G134" s="284">
        <f t="shared" si="15"/>
        <v>145.03565723805195</v>
      </c>
      <c r="H134" s="284">
        <f t="shared" si="15"/>
        <v>166.36026022362171</v>
      </c>
      <c r="I134" s="284">
        <f t="shared" si="15"/>
        <v>191.76187860840196</v>
      </c>
    </row>
    <row r="135" spans="2:9">
      <c r="B135" s="66"/>
      <c r="C135" s="67"/>
      <c r="D135" s="67"/>
      <c r="E135" s="67"/>
      <c r="F135" s="67"/>
      <c r="G135" s="67"/>
      <c r="H135" s="67"/>
      <c r="I135" s="67"/>
    </row>
    <row r="136" spans="2:9">
      <c r="B136" s="69" t="s">
        <v>345</v>
      </c>
      <c r="C136" s="70" t="s">
        <v>2</v>
      </c>
      <c r="D136" s="70" t="s">
        <v>3</v>
      </c>
      <c r="E136" s="70" t="s">
        <v>4</v>
      </c>
      <c r="F136" s="70" t="s">
        <v>5</v>
      </c>
      <c r="G136" s="70" t="s">
        <v>6</v>
      </c>
      <c r="H136" s="70" t="s">
        <v>163</v>
      </c>
      <c r="I136" s="70" t="s">
        <v>162</v>
      </c>
    </row>
    <row r="137" spans="2:9">
      <c r="B137" s="61" t="str">
        <f t="shared" ref="B137:B142" si="16">B122</f>
        <v>Faclitiy 1 - Cleaning &amp; Grading</v>
      </c>
      <c r="C137" s="63">
        <f>'6.Cons Profit &amp; Loss'!B8</f>
        <v>0</v>
      </c>
      <c r="D137" s="63">
        <f>'6.Cons Profit &amp; Loss'!C8</f>
        <v>0</v>
      </c>
      <c r="E137" s="63">
        <f>'6.Cons Profit &amp; Loss'!D8</f>
        <v>0</v>
      </c>
      <c r="F137" s="63">
        <f>'6.Cons Profit &amp; Loss'!E8</f>
        <v>0</v>
      </c>
      <c r="G137" s="63">
        <f>'6.Cons Profit &amp; Loss'!F8</f>
        <v>0</v>
      </c>
      <c r="H137" s="63">
        <f>'6.Cons Profit &amp; Loss'!G8</f>
        <v>0</v>
      </c>
      <c r="I137" s="63">
        <f>'6.Cons Profit &amp; Loss'!H8</f>
        <v>0</v>
      </c>
    </row>
    <row r="138" spans="2:9">
      <c r="B138" s="61" t="str">
        <f t="shared" si="16"/>
        <v>Facility 6 - Processing Unit - Horti Commodity</v>
      </c>
      <c r="C138" s="63">
        <f>'6.Cons Profit &amp; Loss'!B9</f>
        <v>0</v>
      </c>
      <c r="D138" s="63">
        <f>'6.Cons Profit &amp; Loss'!C9</f>
        <v>0</v>
      </c>
      <c r="E138" s="63">
        <f>'6.Cons Profit &amp; Loss'!D9</f>
        <v>0</v>
      </c>
      <c r="F138" s="63">
        <f>'6.Cons Profit &amp; Loss'!E9</f>
        <v>0</v>
      </c>
      <c r="G138" s="63">
        <f>'6.Cons Profit &amp; Loss'!F9</f>
        <v>0</v>
      </c>
      <c r="H138" s="63">
        <f>'6.Cons Profit &amp; Loss'!G9</f>
        <v>0</v>
      </c>
      <c r="I138" s="63">
        <f>'6.Cons Profit &amp; Loss'!H9</f>
        <v>0</v>
      </c>
    </row>
    <row r="139" spans="2:9">
      <c r="B139" s="61" t="str">
        <f t="shared" si="16"/>
        <v>Faclitiy 3 - Warehouse</v>
      </c>
      <c r="C139" s="63">
        <f>'6.Cons Profit &amp; Loss'!B10</f>
        <v>0</v>
      </c>
      <c r="D139" s="63">
        <f>'6.Cons Profit &amp; Loss'!C10</f>
        <v>0</v>
      </c>
      <c r="E139" s="63">
        <f>'6.Cons Profit &amp; Loss'!D10</f>
        <v>0</v>
      </c>
      <c r="F139" s="63">
        <f>'6.Cons Profit &amp; Loss'!E10</f>
        <v>0</v>
      </c>
      <c r="G139" s="63">
        <f>'6.Cons Profit &amp; Loss'!F10</f>
        <v>0</v>
      </c>
      <c r="H139" s="63">
        <f>'6.Cons Profit &amp; Loss'!G10</f>
        <v>0</v>
      </c>
      <c r="I139" s="63">
        <f>'6.Cons Profit &amp; Loss'!H10</f>
        <v>0</v>
      </c>
    </row>
    <row r="140" spans="2:9">
      <c r="B140" s="61" t="str">
        <f t="shared" si="16"/>
        <v xml:space="preserve">Faclitiy 4 - Custom Hiring </v>
      </c>
      <c r="C140" s="63">
        <f>'6.Cons Profit &amp; Loss'!B11</f>
        <v>0</v>
      </c>
      <c r="D140" s="63">
        <f>'6.Cons Profit &amp; Loss'!C11</f>
        <v>0</v>
      </c>
      <c r="E140" s="63">
        <f>'6.Cons Profit &amp; Loss'!D11</f>
        <v>0</v>
      </c>
      <c r="F140" s="63">
        <f>'6.Cons Profit &amp; Loss'!E11</f>
        <v>0</v>
      </c>
      <c r="G140" s="63">
        <f>'6.Cons Profit &amp; Loss'!F11</f>
        <v>0</v>
      </c>
      <c r="H140" s="63">
        <f>'6.Cons Profit &amp; Loss'!G11</f>
        <v>0</v>
      </c>
      <c r="I140" s="63">
        <f>'6.Cons Profit &amp; Loss'!H11</f>
        <v>0</v>
      </c>
    </row>
    <row r="141" spans="2:9">
      <c r="B141" s="61" t="str">
        <f t="shared" si="16"/>
        <v>Faclitiy 5 - Agri Input Centre</v>
      </c>
      <c r="C141" s="63">
        <f>'6.Cons Profit &amp; Loss'!B12</f>
        <v>0</v>
      </c>
      <c r="D141" s="63">
        <f>'6.Cons Profit &amp; Loss'!C12</f>
        <v>0</v>
      </c>
      <c r="E141" s="63">
        <f>'6.Cons Profit &amp; Loss'!D12</f>
        <v>0</v>
      </c>
      <c r="F141" s="63">
        <f>'6.Cons Profit &amp; Loss'!E12</f>
        <v>0</v>
      </c>
      <c r="G141" s="63">
        <f>'6.Cons Profit &amp; Loss'!F12</f>
        <v>0</v>
      </c>
      <c r="H141" s="63">
        <f>'6.Cons Profit &amp; Loss'!G12</f>
        <v>0</v>
      </c>
      <c r="I141" s="63">
        <f>'6.Cons Profit &amp; Loss'!H12</f>
        <v>0</v>
      </c>
    </row>
    <row r="142" spans="2:9">
      <c r="B142" s="61" t="str">
        <f t="shared" si="16"/>
        <v>Faclitiy 2 - Processing Unit- Cleaning Grading Plant</v>
      </c>
      <c r="C142" s="63">
        <f>+SUM('6.Cons Profit &amp; Loss'!B13:B15)</f>
        <v>1157.3306666666665</v>
      </c>
      <c r="D142" s="63">
        <f>+SUM('6.Cons Profit &amp; Loss'!C13:C15)</f>
        <v>1225.9392166666667</v>
      </c>
      <c r="E142" s="63">
        <f>+SUM('6.Cons Profit &amp; Loss'!D13:D15)</f>
        <v>1288.0635550000002</v>
      </c>
      <c r="F142" s="63">
        <f>+SUM('6.Cons Profit &amp; Loss'!E13:E15)</f>
        <v>1352.4776273333334</v>
      </c>
      <c r="G142" s="63">
        <f>+SUM('6.Cons Profit &amp; Loss'!F13:F15)</f>
        <v>1420.0799811999998</v>
      </c>
      <c r="H142" s="63">
        <f>+SUM('6.Cons Profit &amp; Loss'!G13:G15)</f>
        <v>1596.3167309333335</v>
      </c>
      <c r="I142" s="63">
        <f>+SUM('6.Cons Profit &amp; Loss'!H13:H15)</f>
        <v>1789.3004249786663</v>
      </c>
    </row>
    <row r="143" spans="2:9">
      <c r="B143" s="61" t="str">
        <f t="shared" ref="B143" si="17">B128</f>
        <v>Changes In FG Closing Stock</v>
      </c>
      <c r="C143" s="283">
        <f>+'6.Cons Profit &amp; Loss'!B18-'6.Cons Profit &amp; Loss'!B17</f>
        <v>48.662333333333329</v>
      </c>
      <c r="D143" s="283">
        <f>+'6.Cons Profit &amp; Loss'!C18-'6.Cons Profit &amp; Loss'!C17</f>
        <v>42.849533333333348</v>
      </c>
      <c r="E143" s="283">
        <f>+'6.Cons Profit &amp; Loss'!D18-'6.Cons Profit &amp; Loss'!D17</f>
        <v>46.171108333333322</v>
      </c>
      <c r="F143" s="283">
        <f>+'6.Cons Profit &amp; Loss'!E18-'6.Cons Profit &amp; Loss'!E17</f>
        <v>50.560991666666666</v>
      </c>
      <c r="G143" s="283">
        <f>+'6.Cons Profit &amp; Loss'!F18-'6.Cons Profit &amp; Loss'!F17</f>
        <v>55.266183333333345</v>
      </c>
      <c r="H143" s="283">
        <f>+'6.Cons Profit &amp; Loss'!G18-'6.Cons Profit &amp; Loss'!G17</f>
        <v>64.471416666666698</v>
      </c>
      <c r="I143" s="283">
        <f>+'6.Cons Profit &amp; Loss'!H18-'6.Cons Profit &amp; Loss'!H17</f>
        <v>74.224799999999959</v>
      </c>
    </row>
    <row r="144" spans="2:9">
      <c r="B144" s="61" t="s">
        <v>340</v>
      </c>
      <c r="C144" s="63">
        <f>SUM(C137:C143)</f>
        <v>1205.9929999999999</v>
      </c>
      <c r="D144" s="63">
        <f t="shared" ref="D144:I144" si="18">SUM(D137:D143)</f>
        <v>1268.7887499999999</v>
      </c>
      <c r="E144" s="63">
        <f t="shared" si="18"/>
        <v>1334.2346633333334</v>
      </c>
      <c r="F144" s="63">
        <f t="shared" si="18"/>
        <v>1403.0386190000002</v>
      </c>
      <c r="G144" s="63">
        <f t="shared" si="18"/>
        <v>1475.3461645333332</v>
      </c>
      <c r="H144" s="63">
        <f t="shared" si="18"/>
        <v>1660.7881476000002</v>
      </c>
      <c r="I144" s="63">
        <f t="shared" si="18"/>
        <v>1863.5252249786663</v>
      </c>
    </row>
    <row r="145" spans="2:15">
      <c r="B145" s="61" t="s">
        <v>341</v>
      </c>
      <c r="C145" s="68"/>
      <c r="D145" s="63"/>
      <c r="E145" s="63"/>
      <c r="F145" s="63"/>
      <c r="G145" s="63"/>
      <c r="H145" s="63"/>
      <c r="I145" s="63"/>
    </row>
    <row r="146" spans="2:15">
      <c r="B146" s="61" t="s">
        <v>342</v>
      </c>
      <c r="C146" s="62">
        <f>'6.Cons Profit &amp; Loss'!B40*(1+$M$124)</f>
        <v>15.833207249999999</v>
      </c>
      <c r="D146" s="62">
        <f>'6.Cons Profit &amp; Loss'!C40*(1+$M$124)</f>
        <v>16.623292612500002</v>
      </c>
      <c r="E146" s="62">
        <f>'6.Cons Profit &amp; Loss'!D40*(1+$M$124)</f>
        <v>17.452882243125</v>
      </c>
      <c r="F146" s="62">
        <f>'6.Cons Profit &amp; Loss'!E40*(1+$M$124)</f>
        <v>18.323951355281256</v>
      </c>
      <c r="G146" s="62">
        <f>'6.Cons Profit &amp; Loss'!F40*(1+$M$124)</f>
        <v>19.238573923045315</v>
      </c>
      <c r="H146" s="62">
        <f>'6.Cons Profit &amp; Loss'!G40*(1+$M$124)</f>
        <v>20.198927619197583</v>
      </c>
      <c r="I146" s="62">
        <f>'6.Cons Profit &amp; Loss'!H40*(1+$M$124)</f>
        <v>21.207299000157462</v>
      </c>
    </row>
    <row r="147" spans="2:15">
      <c r="B147" s="61" t="s">
        <v>301</v>
      </c>
      <c r="C147" s="62">
        <f>'6.Cons Profit &amp; Loss'!B29*(1+$M$124)</f>
        <v>1201.3889107499999</v>
      </c>
      <c r="D147" s="62">
        <f>'6.Cons Profit &amp; Loss'!C29*(1+$M$124)</f>
        <v>1258.96455825</v>
      </c>
      <c r="E147" s="62">
        <f>'6.Cons Profit &amp; Loss'!D29*(1+$M$124)</f>
        <v>1320.2286877500001</v>
      </c>
      <c r="F147" s="62">
        <f>'6.Cons Profit &amp; Loss'!E29*(1+$M$124)</f>
        <v>1384.6049227500002</v>
      </c>
      <c r="G147" s="62">
        <f>'6.Cons Profit &amp; Loss'!F29*(1+$M$124)</f>
        <v>1452.1416577500001</v>
      </c>
      <c r="H147" s="62">
        <f>'6.Cons Profit &amp; Loss'!G29*(1+$M$124)</f>
        <v>1632.7569825</v>
      </c>
      <c r="I147" s="62">
        <f>'6.Cons Profit &amp; Loss'!H29*(1+$M$124)</f>
        <v>1828.0824870000004</v>
      </c>
    </row>
    <row r="148" spans="2:15">
      <c r="B148" s="61" t="s">
        <v>343</v>
      </c>
      <c r="C148" s="62">
        <f t="shared" ref="C148:I148" si="19">SUM(C146:C147)</f>
        <v>1217.2221179999999</v>
      </c>
      <c r="D148" s="62">
        <f t="shared" si="19"/>
        <v>1275.5878508625001</v>
      </c>
      <c r="E148" s="62">
        <f t="shared" si="19"/>
        <v>1337.6815699931251</v>
      </c>
      <c r="F148" s="62">
        <f t="shared" si="19"/>
        <v>1402.9288741052815</v>
      </c>
      <c r="G148" s="62">
        <f t="shared" si="19"/>
        <v>1471.3802316730455</v>
      </c>
      <c r="H148" s="62">
        <f t="shared" si="19"/>
        <v>1652.9559101191976</v>
      </c>
      <c r="I148" s="62">
        <f t="shared" si="19"/>
        <v>1849.2897860001578</v>
      </c>
    </row>
    <row r="149" spans="2:15">
      <c r="B149" s="64" t="s">
        <v>344</v>
      </c>
      <c r="C149" s="65">
        <f t="shared" ref="C149:I149" si="20">+C144-C148</f>
        <v>-11.229117999999971</v>
      </c>
      <c r="D149" s="65">
        <f t="shared" si="20"/>
        <v>-6.7991008625001541</v>
      </c>
      <c r="E149" s="65">
        <f t="shared" si="20"/>
        <v>-3.4469066597916935</v>
      </c>
      <c r="F149" s="65">
        <f t="shared" si="20"/>
        <v>0.10974489471868765</v>
      </c>
      <c r="G149" s="65">
        <f t="shared" si="20"/>
        <v>3.965932860287694</v>
      </c>
      <c r="H149" s="65">
        <f t="shared" si="20"/>
        <v>7.8322374808026325</v>
      </c>
      <c r="I149" s="65">
        <f t="shared" si="20"/>
        <v>14.235438978508455</v>
      </c>
      <c r="N149" s="4"/>
      <c r="O149" s="6"/>
    </row>
    <row r="150" spans="2:15">
      <c r="B150" s="66"/>
      <c r="C150" s="67"/>
      <c r="D150" s="67"/>
      <c r="E150" s="67"/>
      <c r="F150" s="67"/>
      <c r="G150" s="67"/>
      <c r="H150" s="67"/>
      <c r="I150" s="67"/>
    </row>
    <row r="151" spans="2:15">
      <c r="B151" s="69" t="s">
        <v>346</v>
      </c>
      <c r="C151" s="70" t="s">
        <v>2</v>
      </c>
      <c r="D151" s="70" t="s">
        <v>3</v>
      </c>
      <c r="E151" s="70" t="s">
        <v>4</v>
      </c>
      <c r="F151" s="70" t="s">
        <v>5</v>
      </c>
      <c r="G151" s="70" t="s">
        <v>6</v>
      </c>
      <c r="H151" s="70" t="s">
        <v>163</v>
      </c>
      <c r="I151" s="70" t="s">
        <v>162</v>
      </c>
    </row>
    <row r="152" spans="2:15">
      <c r="B152" s="61" t="str">
        <f t="shared" ref="B152:B158" si="21">B137</f>
        <v>Faclitiy 1 - Cleaning &amp; Grading</v>
      </c>
      <c r="C152" s="283">
        <f>'6.Cons Profit &amp; Loss'!B8*(1-$M$123)</f>
        <v>0</v>
      </c>
      <c r="D152" s="283">
        <f>'6.Cons Profit &amp; Loss'!C8*(1-$M$123)</f>
        <v>0</v>
      </c>
      <c r="E152" s="283">
        <f>'6.Cons Profit &amp; Loss'!D8*(1-$M$123)</f>
        <v>0</v>
      </c>
      <c r="F152" s="283">
        <f>'6.Cons Profit &amp; Loss'!E8*(1-$M$123)</f>
        <v>0</v>
      </c>
      <c r="G152" s="283">
        <f>'6.Cons Profit &amp; Loss'!F8*(1-$M$123)</f>
        <v>0</v>
      </c>
      <c r="H152" s="283">
        <f>'6.Cons Profit &amp; Loss'!G8*(1-$M$123)</f>
        <v>0</v>
      </c>
      <c r="I152" s="283">
        <f>'6.Cons Profit &amp; Loss'!H8*(1-$M$123)</f>
        <v>0</v>
      </c>
    </row>
    <row r="153" spans="2:15">
      <c r="B153" s="61" t="str">
        <f t="shared" si="21"/>
        <v>Facility 6 - Processing Unit - Horti Commodity</v>
      </c>
      <c r="C153" s="524">
        <f>'6.Cons Profit &amp; Loss'!B9*(1-$M$123)</f>
        <v>0</v>
      </c>
      <c r="D153" s="524">
        <f>'6.Cons Profit &amp; Loss'!C9*(1-$M$123)</f>
        <v>0</v>
      </c>
      <c r="E153" s="524">
        <f>'6.Cons Profit &amp; Loss'!D9*(1-$M$123)</f>
        <v>0</v>
      </c>
      <c r="F153" s="524">
        <f>'6.Cons Profit &amp; Loss'!E9*(1-$M$123)</f>
        <v>0</v>
      </c>
      <c r="G153" s="524">
        <f>'6.Cons Profit &amp; Loss'!F9*(1-$M$123)</f>
        <v>0</v>
      </c>
      <c r="H153" s="524">
        <f>'6.Cons Profit &amp; Loss'!G9*(1-$M$123)</f>
        <v>0</v>
      </c>
      <c r="I153" s="524">
        <f>'6.Cons Profit &amp; Loss'!H9*(1-$M$123)</f>
        <v>0</v>
      </c>
    </row>
    <row r="154" spans="2:15">
      <c r="B154" s="61" t="str">
        <f t="shared" si="21"/>
        <v>Faclitiy 3 - Warehouse</v>
      </c>
      <c r="C154" s="524">
        <f>'6.Cons Profit &amp; Loss'!B10*(1-$M$123)</f>
        <v>0</v>
      </c>
      <c r="D154" s="524">
        <f>'6.Cons Profit &amp; Loss'!C10*(1-$M$123)</f>
        <v>0</v>
      </c>
      <c r="E154" s="524">
        <f>'6.Cons Profit &amp; Loss'!D10*(1-$M$123)</f>
        <v>0</v>
      </c>
      <c r="F154" s="524">
        <f>'6.Cons Profit &amp; Loss'!E10*(1-$M$123)</f>
        <v>0</v>
      </c>
      <c r="G154" s="524">
        <f>'6.Cons Profit &amp; Loss'!F10*(1-$M$123)</f>
        <v>0</v>
      </c>
      <c r="H154" s="524">
        <f>'6.Cons Profit &amp; Loss'!G10*(1-$M$123)</f>
        <v>0</v>
      </c>
      <c r="I154" s="524">
        <f>'6.Cons Profit &amp; Loss'!H10*(1-$M$123)</f>
        <v>0</v>
      </c>
    </row>
    <row r="155" spans="2:15">
      <c r="B155" s="61" t="str">
        <f t="shared" si="21"/>
        <v xml:space="preserve">Faclitiy 4 - Custom Hiring </v>
      </c>
      <c r="C155" s="524">
        <f>'6.Cons Profit &amp; Loss'!B11*(1-$M$123)</f>
        <v>0</v>
      </c>
      <c r="D155" s="524">
        <f>'6.Cons Profit &amp; Loss'!C11*(1-$M$123)</f>
        <v>0</v>
      </c>
      <c r="E155" s="524">
        <f>'6.Cons Profit &amp; Loss'!D11*(1-$M$123)</f>
        <v>0</v>
      </c>
      <c r="F155" s="524">
        <f>'6.Cons Profit &amp; Loss'!E11*(1-$M$123)</f>
        <v>0</v>
      </c>
      <c r="G155" s="524">
        <f>'6.Cons Profit &amp; Loss'!F11*(1-$M$123)</f>
        <v>0</v>
      </c>
      <c r="H155" s="524">
        <f>'6.Cons Profit &amp; Loss'!G11*(1-$M$123)</f>
        <v>0</v>
      </c>
      <c r="I155" s="524">
        <f>'6.Cons Profit &amp; Loss'!H11*(1-$M$123)</f>
        <v>0</v>
      </c>
    </row>
    <row r="156" spans="2:15">
      <c r="B156" s="61" t="str">
        <f t="shared" si="21"/>
        <v>Faclitiy 5 - Agri Input Centre</v>
      </c>
      <c r="C156" s="524">
        <f>'6.Cons Profit &amp; Loss'!B12*(1-$M$123)</f>
        <v>0</v>
      </c>
      <c r="D156" s="524">
        <f>'6.Cons Profit &amp; Loss'!C12*(1-$M$123)</f>
        <v>0</v>
      </c>
      <c r="E156" s="524">
        <f>'6.Cons Profit &amp; Loss'!D12*(1-$M$123)</f>
        <v>0</v>
      </c>
      <c r="F156" s="524">
        <f>'6.Cons Profit &amp; Loss'!E12*(1-$M$123)</f>
        <v>0</v>
      </c>
      <c r="G156" s="524">
        <f>'6.Cons Profit &amp; Loss'!F12*(1-$M$123)</f>
        <v>0</v>
      </c>
      <c r="H156" s="524">
        <f>'6.Cons Profit &amp; Loss'!G12*(1-$M$123)</f>
        <v>0</v>
      </c>
      <c r="I156" s="524">
        <f>'6.Cons Profit &amp; Loss'!H12*(1-$M$123)</f>
        <v>0</v>
      </c>
    </row>
    <row r="157" spans="2:15">
      <c r="B157" s="61" t="str">
        <f t="shared" si="21"/>
        <v>Faclitiy 2 - Processing Unit- Cleaning Grading Plant</v>
      </c>
      <c r="C157" s="524">
        <f>+SUM('6.Cons Profit &amp; Loss'!B13:B15)*(1-$M$123)</f>
        <v>1099.4641333333332</v>
      </c>
      <c r="D157" s="524">
        <f>'6.Cons Profit &amp; Loss'!C13*(1-$M$123)</f>
        <v>1127.1043358333334</v>
      </c>
      <c r="E157" s="524">
        <f>'6.Cons Profit &amp; Loss'!D13*(1-$M$123)</f>
        <v>1184.24556125</v>
      </c>
      <c r="F157" s="524">
        <f>'6.Cons Profit &amp; Loss'!E13*(1-$M$123)</f>
        <v>1243.4681891666667</v>
      </c>
      <c r="G157" s="524">
        <f>'6.Cons Profit &amp; Loss'!F13*(1-$M$123)</f>
        <v>1305.6211474999998</v>
      </c>
      <c r="H157" s="524">
        <f>'6.Cons Profit &amp; Loss'!G13*(1-$M$123)</f>
        <v>1467.6142054166667</v>
      </c>
      <c r="I157" s="524">
        <f>'6.Cons Profit &amp; Loss'!H13*(1-$M$123)</f>
        <v>1645.0823120833329</v>
      </c>
    </row>
    <row r="158" spans="2:15">
      <c r="B158" s="61" t="str">
        <f t="shared" si="21"/>
        <v>Changes In FG Closing Stock</v>
      </c>
      <c r="C158" s="524">
        <f>+'6.Cons Profit &amp; Loss'!B18-'6.Cons Profit &amp; Loss'!B17</f>
        <v>48.662333333333329</v>
      </c>
      <c r="D158" s="524">
        <f>+'6.Cons Profit &amp; Loss'!C18-'6.Cons Profit &amp; Loss'!C17</f>
        <v>42.849533333333348</v>
      </c>
      <c r="E158" s="524">
        <f>+'6.Cons Profit &amp; Loss'!D18-'6.Cons Profit &amp; Loss'!D17</f>
        <v>46.171108333333322</v>
      </c>
      <c r="F158" s="524">
        <f>+'6.Cons Profit &amp; Loss'!E18-'6.Cons Profit &amp; Loss'!E17</f>
        <v>50.560991666666666</v>
      </c>
      <c r="G158" s="524">
        <f>+'6.Cons Profit &amp; Loss'!F18-'6.Cons Profit &amp; Loss'!F17</f>
        <v>55.266183333333345</v>
      </c>
      <c r="H158" s="524">
        <f>+'6.Cons Profit &amp; Loss'!G18-'6.Cons Profit &amp; Loss'!G17</f>
        <v>64.471416666666698</v>
      </c>
      <c r="I158" s="524">
        <f>+'6.Cons Profit &amp; Loss'!H18-'6.Cons Profit &amp; Loss'!H17</f>
        <v>74.224799999999959</v>
      </c>
    </row>
    <row r="159" spans="2:15">
      <c r="B159" s="61" t="s">
        <v>340</v>
      </c>
      <c r="C159" s="524">
        <f>SUM(C152:C158)</f>
        <v>1148.1264666666666</v>
      </c>
      <c r="D159" s="524">
        <f t="shared" ref="D159:I159" si="22">SUM(D152:D158)</f>
        <v>1169.9538691666667</v>
      </c>
      <c r="E159" s="524">
        <f t="shared" si="22"/>
        <v>1230.4166695833333</v>
      </c>
      <c r="F159" s="524">
        <f t="shared" si="22"/>
        <v>1294.0291808333334</v>
      </c>
      <c r="G159" s="524">
        <f t="shared" si="22"/>
        <v>1360.8873308333332</v>
      </c>
      <c r="H159" s="524">
        <f t="shared" si="22"/>
        <v>1532.0856220833334</v>
      </c>
      <c r="I159" s="524">
        <f t="shared" si="22"/>
        <v>1719.3071120833329</v>
      </c>
    </row>
    <row r="160" spans="2:15">
      <c r="B160" s="61" t="s">
        <v>341</v>
      </c>
      <c r="C160" s="524"/>
      <c r="D160" s="524"/>
      <c r="E160" s="524"/>
      <c r="F160" s="524"/>
      <c r="G160" s="524"/>
      <c r="H160" s="524"/>
      <c r="I160" s="524"/>
    </row>
    <row r="161" spans="2:9">
      <c r="B161" s="61" t="s">
        <v>342</v>
      </c>
      <c r="C161" s="524">
        <f>'6.Cons Profit &amp; Loss'!B40</f>
        <v>15.079244999999998</v>
      </c>
      <c r="D161" s="524">
        <f>'6.Cons Profit &amp; Loss'!C40</f>
        <v>15.831707250000001</v>
      </c>
      <c r="E161" s="524">
        <f>'6.Cons Profit &amp; Loss'!D40</f>
        <v>16.621792612499998</v>
      </c>
      <c r="F161" s="524">
        <f>'6.Cons Profit &amp; Loss'!E40</f>
        <v>17.451382243125003</v>
      </c>
      <c r="G161" s="524">
        <f>'6.Cons Profit &amp; Loss'!F40</f>
        <v>18.322451355281252</v>
      </c>
      <c r="H161" s="524">
        <f>'6.Cons Profit &amp; Loss'!G40</f>
        <v>19.237073923045315</v>
      </c>
      <c r="I161" s="524">
        <f>'6.Cons Profit &amp; Loss'!H40</f>
        <v>20.197427619197583</v>
      </c>
    </row>
    <row r="162" spans="2:9">
      <c r="B162" s="61" t="s">
        <v>301</v>
      </c>
      <c r="C162" s="524">
        <f>'6.Cons Profit &amp; Loss'!B29*(1-$M$123)</f>
        <v>1086.97091925</v>
      </c>
      <c r="D162" s="524">
        <f>'6.Cons Profit &amp; Loss'!C29*(1-$M$123)</f>
        <v>1139.0631717499998</v>
      </c>
      <c r="E162" s="524">
        <f>'6.Cons Profit &amp; Loss'!D29*(1-$M$123)</f>
        <v>1194.4926222499998</v>
      </c>
      <c r="F162" s="524">
        <f>'6.Cons Profit &amp; Loss'!E29*(1-$M$123)</f>
        <v>1252.7377872500001</v>
      </c>
      <c r="G162" s="524">
        <f>'6.Cons Profit &amp; Loss'!F29*(1-$M$123)</f>
        <v>1313.8424522500002</v>
      </c>
      <c r="H162" s="524">
        <f>'6.Cons Profit &amp; Loss'!G29*(1-$M$123)</f>
        <v>1477.2563175</v>
      </c>
      <c r="I162" s="524">
        <f>'6.Cons Profit &amp; Loss'!H29*(1-$M$123)</f>
        <v>1653.9793930000003</v>
      </c>
    </row>
    <row r="163" spans="2:9">
      <c r="B163" s="61" t="s">
        <v>343</v>
      </c>
      <c r="C163" s="524">
        <f t="shared" ref="C163:I163" si="23">SUM(C161:C162)</f>
        <v>1102.0501642499999</v>
      </c>
      <c r="D163" s="524">
        <f t="shared" si="23"/>
        <v>1154.8948789999997</v>
      </c>
      <c r="E163" s="524">
        <f t="shared" si="23"/>
        <v>1211.1144148624999</v>
      </c>
      <c r="F163" s="524">
        <f t="shared" si="23"/>
        <v>1270.1891694931251</v>
      </c>
      <c r="G163" s="524">
        <f t="shared" si="23"/>
        <v>1332.1649036052813</v>
      </c>
      <c r="H163" s="524">
        <f t="shared" si="23"/>
        <v>1496.4933914230453</v>
      </c>
      <c r="I163" s="524">
        <f t="shared" si="23"/>
        <v>1674.1768206191978</v>
      </c>
    </row>
    <row r="164" spans="2:9">
      <c r="B164" s="64" t="s">
        <v>344</v>
      </c>
      <c r="C164" s="525">
        <f t="shared" ref="C164:I164" si="24">+C159-C163</f>
        <v>46.076302416666749</v>
      </c>
      <c r="D164" s="525">
        <f t="shared" si="24"/>
        <v>15.058990166666945</v>
      </c>
      <c r="E164" s="525">
        <f t="shared" si="24"/>
        <v>19.302254720833389</v>
      </c>
      <c r="F164" s="525">
        <f t="shared" si="24"/>
        <v>23.840011340208321</v>
      </c>
      <c r="G164" s="525">
        <f t="shared" si="24"/>
        <v>28.722427228051856</v>
      </c>
      <c r="H164" s="525">
        <f t="shared" si="24"/>
        <v>35.592230660288124</v>
      </c>
      <c r="I164" s="525">
        <f t="shared" si="24"/>
        <v>45.130291464135098</v>
      </c>
    </row>
    <row r="165" spans="2:9">
      <c r="B165" s="13"/>
      <c r="C165" s="526"/>
      <c r="D165" s="526"/>
      <c r="E165" s="526"/>
      <c r="F165" s="526"/>
      <c r="G165" s="526"/>
      <c r="H165" s="526"/>
      <c r="I165" s="526"/>
    </row>
    <row r="166" spans="2:9">
      <c r="B166" s="69" t="s">
        <v>347</v>
      </c>
      <c r="C166" s="527" t="s">
        <v>2</v>
      </c>
      <c r="D166" s="527" t="s">
        <v>3</v>
      </c>
      <c r="E166" s="527" t="s">
        <v>4</v>
      </c>
      <c r="F166" s="527" t="s">
        <v>5</v>
      </c>
      <c r="G166" s="527" t="s">
        <v>6</v>
      </c>
      <c r="H166" s="527" t="s">
        <v>163</v>
      </c>
      <c r="I166" s="527" t="s">
        <v>162</v>
      </c>
    </row>
    <row r="167" spans="2:9">
      <c r="B167" s="61" t="str">
        <f t="shared" ref="B167:B173" si="25">B152</f>
        <v>Faclitiy 1 - Cleaning &amp; Grading</v>
      </c>
      <c r="C167" s="528">
        <f>'6.Cons Profit &amp; Loss'!B8</f>
        <v>0</v>
      </c>
      <c r="D167" s="528">
        <f>'6.Cons Profit &amp; Loss'!C8</f>
        <v>0</v>
      </c>
      <c r="E167" s="528">
        <f>'6.Cons Profit &amp; Loss'!D8</f>
        <v>0</v>
      </c>
      <c r="F167" s="528">
        <f>'6.Cons Profit &amp; Loss'!E8</f>
        <v>0</v>
      </c>
      <c r="G167" s="528">
        <f>'6.Cons Profit &amp; Loss'!F8</f>
        <v>0</v>
      </c>
      <c r="H167" s="528">
        <f>'6.Cons Profit &amp; Loss'!G8</f>
        <v>0</v>
      </c>
      <c r="I167" s="528">
        <f>'6.Cons Profit &amp; Loss'!H8</f>
        <v>0</v>
      </c>
    </row>
    <row r="168" spans="2:9">
      <c r="B168" s="61" t="str">
        <f t="shared" si="25"/>
        <v>Facility 6 - Processing Unit - Horti Commodity</v>
      </c>
      <c r="C168" s="528">
        <f>'6.Cons Profit &amp; Loss'!B9</f>
        <v>0</v>
      </c>
      <c r="D168" s="528">
        <f>'6.Cons Profit &amp; Loss'!C9</f>
        <v>0</v>
      </c>
      <c r="E168" s="528">
        <f>'6.Cons Profit &amp; Loss'!D9</f>
        <v>0</v>
      </c>
      <c r="F168" s="528">
        <f>'6.Cons Profit &amp; Loss'!E9</f>
        <v>0</v>
      </c>
      <c r="G168" s="528">
        <f>'6.Cons Profit &amp; Loss'!F9</f>
        <v>0</v>
      </c>
      <c r="H168" s="528">
        <f>'6.Cons Profit &amp; Loss'!G9</f>
        <v>0</v>
      </c>
      <c r="I168" s="528">
        <f>'6.Cons Profit &amp; Loss'!H9</f>
        <v>0</v>
      </c>
    </row>
    <row r="169" spans="2:9">
      <c r="B169" s="61" t="str">
        <f t="shared" si="25"/>
        <v>Faclitiy 3 - Warehouse</v>
      </c>
      <c r="C169" s="528">
        <f>'6.Cons Profit &amp; Loss'!B10</f>
        <v>0</v>
      </c>
      <c r="D169" s="528">
        <f>'6.Cons Profit &amp; Loss'!C10</f>
        <v>0</v>
      </c>
      <c r="E169" s="528">
        <f>'6.Cons Profit &amp; Loss'!D10</f>
        <v>0</v>
      </c>
      <c r="F169" s="528">
        <f>'6.Cons Profit &amp; Loss'!E10</f>
        <v>0</v>
      </c>
      <c r="G169" s="528">
        <f>'6.Cons Profit &amp; Loss'!F10</f>
        <v>0</v>
      </c>
      <c r="H169" s="528">
        <f>'6.Cons Profit &amp; Loss'!G10</f>
        <v>0</v>
      </c>
      <c r="I169" s="528">
        <f>'6.Cons Profit &amp; Loss'!H10</f>
        <v>0</v>
      </c>
    </row>
    <row r="170" spans="2:9">
      <c r="B170" s="61" t="str">
        <f t="shared" si="25"/>
        <v xml:space="preserve">Faclitiy 4 - Custom Hiring </v>
      </c>
      <c r="C170" s="528">
        <f>'6.Cons Profit &amp; Loss'!B11</f>
        <v>0</v>
      </c>
      <c r="D170" s="528">
        <f>'6.Cons Profit &amp; Loss'!C11</f>
        <v>0</v>
      </c>
      <c r="E170" s="528">
        <f>'6.Cons Profit &amp; Loss'!D11</f>
        <v>0</v>
      </c>
      <c r="F170" s="528">
        <f>'6.Cons Profit &amp; Loss'!E11</f>
        <v>0</v>
      </c>
      <c r="G170" s="528">
        <f>'6.Cons Profit &amp; Loss'!F11</f>
        <v>0</v>
      </c>
      <c r="H170" s="528">
        <f>'6.Cons Profit &amp; Loss'!G11</f>
        <v>0</v>
      </c>
      <c r="I170" s="528">
        <f>'6.Cons Profit &amp; Loss'!H11</f>
        <v>0</v>
      </c>
    </row>
    <row r="171" spans="2:9">
      <c r="B171" s="61" t="str">
        <f t="shared" si="25"/>
        <v>Faclitiy 5 - Agri Input Centre</v>
      </c>
      <c r="C171" s="528">
        <f>'6.Cons Profit &amp; Loss'!B12</f>
        <v>0</v>
      </c>
      <c r="D171" s="528">
        <f>'6.Cons Profit &amp; Loss'!C12</f>
        <v>0</v>
      </c>
      <c r="E171" s="528">
        <f>'6.Cons Profit &amp; Loss'!D12</f>
        <v>0</v>
      </c>
      <c r="F171" s="528">
        <f>'6.Cons Profit &amp; Loss'!E12</f>
        <v>0</v>
      </c>
      <c r="G171" s="528">
        <f>'6.Cons Profit &amp; Loss'!F12</f>
        <v>0</v>
      </c>
      <c r="H171" s="528">
        <f>'6.Cons Profit &amp; Loss'!G12</f>
        <v>0</v>
      </c>
      <c r="I171" s="528">
        <f>'6.Cons Profit &amp; Loss'!H12</f>
        <v>0</v>
      </c>
    </row>
    <row r="172" spans="2:9">
      <c r="B172" s="61" t="str">
        <f t="shared" si="25"/>
        <v>Faclitiy 2 - Processing Unit- Cleaning Grading Plant</v>
      </c>
      <c r="C172" s="528">
        <f>+SUM('6.Cons Profit &amp; Loss'!B13:B15)</f>
        <v>1157.3306666666665</v>
      </c>
      <c r="D172" s="528">
        <f>+SUM('6.Cons Profit &amp; Loss'!C13:C15)</f>
        <v>1225.9392166666667</v>
      </c>
      <c r="E172" s="528">
        <f>+SUM('6.Cons Profit &amp; Loss'!D13:D15)</f>
        <v>1288.0635550000002</v>
      </c>
      <c r="F172" s="528">
        <f>+SUM('6.Cons Profit &amp; Loss'!E13:E15)</f>
        <v>1352.4776273333334</v>
      </c>
      <c r="G172" s="528">
        <f>+SUM('6.Cons Profit &amp; Loss'!F13:F15)</f>
        <v>1420.0799811999998</v>
      </c>
      <c r="H172" s="528">
        <f>+SUM('6.Cons Profit &amp; Loss'!G13:G15)</f>
        <v>1596.3167309333335</v>
      </c>
      <c r="I172" s="528">
        <f>+SUM('6.Cons Profit &amp; Loss'!H13:H15)</f>
        <v>1789.3004249786663</v>
      </c>
    </row>
    <row r="173" spans="2:9">
      <c r="B173" s="61" t="str">
        <f t="shared" si="25"/>
        <v>Changes In FG Closing Stock</v>
      </c>
      <c r="C173" s="528">
        <f>+'6.Cons Profit &amp; Loss'!B18-'6.Cons Profit &amp; Loss'!B17</f>
        <v>48.662333333333329</v>
      </c>
      <c r="D173" s="528">
        <f>+'6.Cons Profit &amp; Loss'!C18-'6.Cons Profit &amp; Loss'!C17</f>
        <v>42.849533333333348</v>
      </c>
      <c r="E173" s="528">
        <f>+'6.Cons Profit &amp; Loss'!D18-'6.Cons Profit &amp; Loss'!D17</f>
        <v>46.171108333333322</v>
      </c>
      <c r="F173" s="528">
        <f>+'6.Cons Profit &amp; Loss'!E18-'6.Cons Profit &amp; Loss'!E17</f>
        <v>50.560991666666666</v>
      </c>
      <c r="G173" s="528">
        <f>+'6.Cons Profit &amp; Loss'!F18-'6.Cons Profit &amp; Loss'!F17</f>
        <v>55.266183333333345</v>
      </c>
      <c r="H173" s="528">
        <f>+'6.Cons Profit &amp; Loss'!G18-'6.Cons Profit &amp; Loss'!G17</f>
        <v>64.471416666666698</v>
      </c>
      <c r="I173" s="528">
        <f>+'6.Cons Profit &amp; Loss'!H18-'6.Cons Profit &amp; Loss'!H17</f>
        <v>74.224799999999959</v>
      </c>
    </row>
    <row r="174" spans="2:9">
      <c r="B174" s="61" t="s">
        <v>340</v>
      </c>
      <c r="C174" s="528">
        <f>SUM(C167:C173)</f>
        <v>1205.9929999999999</v>
      </c>
      <c r="D174" s="528">
        <f t="shared" ref="D174:I174" si="26">SUM(D167:D173)</f>
        <v>1268.7887499999999</v>
      </c>
      <c r="E174" s="528">
        <f t="shared" si="26"/>
        <v>1334.2346633333334</v>
      </c>
      <c r="F174" s="528">
        <f t="shared" si="26"/>
        <v>1403.0386190000002</v>
      </c>
      <c r="G174" s="528">
        <f t="shared" si="26"/>
        <v>1475.3461645333332</v>
      </c>
      <c r="H174" s="528">
        <f t="shared" si="26"/>
        <v>1660.7881476000002</v>
      </c>
      <c r="I174" s="528">
        <f t="shared" si="26"/>
        <v>1863.5252249786663</v>
      </c>
    </row>
    <row r="175" spans="2:9">
      <c r="B175" s="61" t="s">
        <v>341</v>
      </c>
      <c r="C175" s="528"/>
      <c r="D175" s="528"/>
      <c r="E175" s="528"/>
      <c r="F175" s="528"/>
      <c r="G175" s="528"/>
      <c r="H175" s="528"/>
      <c r="I175" s="528"/>
    </row>
    <row r="176" spans="2:9">
      <c r="B176" s="61" t="s">
        <v>342</v>
      </c>
      <c r="C176" s="528">
        <f>'6.Cons Profit &amp; Loss'!B40*(1-$M$124)</f>
        <v>14.325282749999998</v>
      </c>
      <c r="D176" s="528">
        <f>'6.Cons Profit &amp; Loss'!C40*(1-$M$124)</f>
        <v>15.0401218875</v>
      </c>
      <c r="E176" s="528">
        <f>'6.Cons Profit &amp; Loss'!D40*(1-$M$124)</f>
        <v>15.790702981874997</v>
      </c>
      <c r="F176" s="528">
        <f>'6.Cons Profit &amp; Loss'!E40*(1-$M$124)</f>
        <v>16.578813130968751</v>
      </c>
      <c r="G176" s="528">
        <f>'6.Cons Profit &amp; Loss'!F40*(1-$M$124)</f>
        <v>17.406328787517189</v>
      </c>
      <c r="H176" s="528">
        <f>'6.Cons Profit &amp; Loss'!G40*(1-$M$124)</f>
        <v>18.275220226893047</v>
      </c>
      <c r="I176" s="528">
        <f>'6.Cons Profit &amp; Loss'!H40*(1-$M$124)</f>
        <v>19.187556238237704</v>
      </c>
    </row>
    <row r="177" spans="2:13">
      <c r="B177" s="61" t="s">
        <v>301</v>
      </c>
      <c r="C177" s="528">
        <f>'6.Cons Profit &amp; Loss'!B29*(1-$M$124)</f>
        <v>1086.97091925</v>
      </c>
      <c r="D177" s="528">
        <f>'6.Cons Profit &amp; Loss'!C29*(1-$M$124)</f>
        <v>1139.0631717499998</v>
      </c>
      <c r="E177" s="528">
        <f>'6.Cons Profit &amp; Loss'!D29*(1-$M$124)</f>
        <v>1194.4926222499998</v>
      </c>
      <c r="F177" s="528">
        <f>'6.Cons Profit &amp; Loss'!E29*(1-$M$124)</f>
        <v>1252.7377872500001</v>
      </c>
      <c r="G177" s="528">
        <f>'6.Cons Profit &amp; Loss'!F29*(1-$M$124)</f>
        <v>1313.8424522500002</v>
      </c>
      <c r="H177" s="528">
        <f>'6.Cons Profit &amp; Loss'!G29*(1-$M$124)</f>
        <v>1477.2563175</v>
      </c>
      <c r="I177" s="528">
        <f>'6.Cons Profit &amp; Loss'!H29*(1-$M$124)</f>
        <v>1653.9793930000003</v>
      </c>
    </row>
    <row r="178" spans="2:13">
      <c r="B178" s="61" t="s">
        <v>343</v>
      </c>
      <c r="C178" s="528">
        <f>SUM(C176:C177)</f>
        <v>1101.296202</v>
      </c>
      <c r="D178" s="528">
        <f t="shared" ref="D178:I178" si="27">SUM(D176:D177)</f>
        <v>1154.1032936374997</v>
      </c>
      <c r="E178" s="528">
        <f t="shared" si="27"/>
        <v>1210.2833252318749</v>
      </c>
      <c r="F178" s="528">
        <f t="shared" si="27"/>
        <v>1269.3166003809688</v>
      </c>
      <c r="G178" s="528">
        <f t="shared" si="27"/>
        <v>1331.2487810375173</v>
      </c>
      <c r="H178" s="528">
        <f t="shared" si="27"/>
        <v>1495.531537726893</v>
      </c>
      <c r="I178" s="528">
        <f t="shared" si="27"/>
        <v>1673.166949238238</v>
      </c>
    </row>
    <row r="179" spans="2:13">
      <c r="B179" s="64" t="s">
        <v>344</v>
      </c>
      <c r="C179" s="65">
        <f t="shared" ref="C179:I179" si="28">+C174-C178</f>
        <v>104.69679799999994</v>
      </c>
      <c r="D179" s="65">
        <f t="shared" si="28"/>
        <v>114.68545636250019</v>
      </c>
      <c r="E179" s="65">
        <f t="shared" si="28"/>
        <v>123.95133810145853</v>
      </c>
      <c r="F179" s="65">
        <f t="shared" si="28"/>
        <v>133.72201861903136</v>
      </c>
      <c r="G179" s="65">
        <f t="shared" si="28"/>
        <v>144.09738349581585</v>
      </c>
      <c r="H179" s="65">
        <f t="shared" si="28"/>
        <v>165.25660987310721</v>
      </c>
      <c r="I179" s="65">
        <f t="shared" si="28"/>
        <v>190.35827574042833</v>
      </c>
    </row>
    <row r="181" spans="2:13" ht="41.1" customHeight="1">
      <c r="B181" s="728" t="s">
        <v>484</v>
      </c>
      <c r="C181" s="728"/>
      <c r="D181" s="728"/>
      <c r="E181" s="728"/>
      <c r="F181" s="728"/>
      <c r="G181" s="728"/>
      <c r="H181" s="728"/>
      <c r="I181" s="728"/>
      <c r="J181" s="288"/>
      <c r="K181" s="288"/>
      <c r="L181" s="288"/>
      <c r="M181" s="288"/>
    </row>
  </sheetData>
  <sheetProtection formatCells="0" formatColumns="0" formatRows="0" insertColumns="0" insertRows="0" insertHyperlinks="0" deleteColumns="0" deleteRows="0" sort="0" autoFilter="0" pivotTables="0"/>
  <mergeCells count="20">
    <mergeCell ref="B5:J5"/>
    <mergeCell ref="B26:I26"/>
    <mergeCell ref="B51:I51"/>
    <mergeCell ref="B24:J24"/>
    <mergeCell ref="B72:I72"/>
    <mergeCell ref="B181:I181"/>
    <mergeCell ref="B120:I120"/>
    <mergeCell ref="K120:R120"/>
    <mergeCell ref="D20:J20"/>
    <mergeCell ref="D22:J22"/>
    <mergeCell ref="B85:I85"/>
    <mergeCell ref="B100:J100"/>
    <mergeCell ref="B118:J118"/>
    <mergeCell ref="B102:I102"/>
    <mergeCell ref="B73:I73"/>
    <mergeCell ref="C79:I79"/>
    <mergeCell ref="C80:I80"/>
    <mergeCell ref="C82:I82"/>
    <mergeCell ref="B87:J87"/>
    <mergeCell ref="B48:I48"/>
  </mergeCells>
  <hyperlinks>
    <hyperlink ref="B24" r:id="rId1" display="https://www.investopedia.com/terms/d/discountrate.asp"/>
  </hyperlinks>
  <pageMargins left="0.7" right="0.7" top="0.75" bottom="0.75" header="0.3" footer="0.3"/>
  <pageSetup scale="58" orientation="portrait" r:id="rId2"/>
  <cellWatches>
    <cellWatch r="C16"/>
    <cellWatch r="C46"/>
  </cellWatch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Z504"/>
  <sheetViews>
    <sheetView view="pageBreakPreview" zoomScale="55" zoomScaleSheetLayoutView="55" workbookViewId="0">
      <selection activeCell="G20" sqref="G20"/>
    </sheetView>
  </sheetViews>
  <sheetFormatPr defaultRowHeight="15"/>
  <cols>
    <col min="1" max="1" width="30.85546875" customWidth="1"/>
    <col min="2" max="3" width="12.85546875" customWidth="1"/>
    <col min="4" max="4" width="14.7109375" style="363" bestFit="1" customWidth="1"/>
    <col min="5" max="8" width="12.85546875" style="363" customWidth="1"/>
    <col min="9" max="9" width="11.7109375" style="363" customWidth="1"/>
    <col min="10" max="10" width="11.28515625" style="363" customWidth="1"/>
    <col min="11" max="16" width="11.28515625" customWidth="1"/>
    <col min="18" max="24" width="11.42578125" customWidth="1"/>
  </cols>
  <sheetData>
    <row r="3" spans="1:9" ht="18.75">
      <c r="A3" s="676" t="s">
        <v>902</v>
      </c>
      <c r="B3" s="676"/>
      <c r="C3" s="676"/>
      <c r="D3" s="676"/>
      <c r="E3" s="676"/>
      <c r="F3" s="676"/>
      <c r="G3" s="676"/>
      <c r="H3" s="676"/>
    </row>
    <row r="4" spans="1:9" ht="18.75">
      <c r="A4" s="676" t="s">
        <v>524</v>
      </c>
      <c r="B4" s="676"/>
      <c r="C4" s="676"/>
      <c r="D4" s="676"/>
      <c r="E4" s="676"/>
      <c r="F4" s="676"/>
      <c r="G4" s="676"/>
      <c r="H4" s="676"/>
    </row>
    <row r="5" spans="1:9" ht="18.75">
      <c r="A5" s="556"/>
      <c r="B5" s="556"/>
      <c r="C5" s="556"/>
      <c r="D5" s="556"/>
      <c r="E5" s="556"/>
      <c r="F5" s="556"/>
      <c r="G5" s="556"/>
      <c r="H5" s="556"/>
    </row>
    <row r="6" spans="1:9" ht="18.75">
      <c r="A6" s="556"/>
      <c r="B6" s="556"/>
      <c r="C6" s="556"/>
      <c r="D6" s="556"/>
      <c r="E6" s="556"/>
      <c r="F6" s="556"/>
      <c r="G6" s="556"/>
      <c r="H6" s="556"/>
    </row>
    <row r="7" spans="1:9">
      <c r="A7" s="79" t="s">
        <v>156</v>
      </c>
      <c r="B7" s="208">
        <v>4</v>
      </c>
      <c r="C7" s="79" t="s">
        <v>288</v>
      </c>
      <c r="D7" s="94"/>
      <c r="E7" s="94"/>
      <c r="F7" s="94"/>
      <c r="G7" s="94"/>
      <c r="H7" s="94"/>
    </row>
    <row r="8" spans="1:9">
      <c r="A8" s="79" t="s">
        <v>157</v>
      </c>
      <c r="B8" s="236">
        <v>8</v>
      </c>
      <c r="C8" s="79"/>
      <c r="D8" s="94"/>
      <c r="E8" s="94"/>
      <c r="F8" s="94"/>
      <c r="G8" s="94"/>
      <c r="H8" s="94"/>
    </row>
    <row r="9" spans="1:9">
      <c r="A9" s="79"/>
      <c r="B9" s="236"/>
      <c r="C9" s="79"/>
      <c r="D9" s="94"/>
      <c r="E9" s="94"/>
      <c r="F9" s="94"/>
      <c r="G9" s="94"/>
      <c r="H9" s="94"/>
    </row>
    <row r="10" spans="1:9">
      <c r="A10" s="79"/>
      <c r="B10" s="236"/>
      <c r="C10" s="79"/>
      <c r="D10" s="94"/>
      <c r="E10" s="94"/>
      <c r="F10" s="94"/>
      <c r="G10" s="94"/>
      <c r="H10" s="94"/>
    </row>
    <row r="11" spans="1:9">
      <c r="A11" s="79"/>
      <c r="B11" s="79"/>
      <c r="C11" s="79"/>
      <c r="D11" s="94"/>
      <c r="E11" s="94"/>
      <c r="F11" s="94"/>
      <c r="G11" s="94"/>
      <c r="H11" s="94"/>
    </row>
    <row r="12" spans="1:9">
      <c r="A12" s="122" t="s">
        <v>0</v>
      </c>
      <c r="B12" s="122" t="s">
        <v>2</v>
      </c>
      <c r="C12" s="122" t="s">
        <v>3</v>
      </c>
      <c r="D12" s="122" t="s">
        <v>4</v>
      </c>
      <c r="E12" s="122" t="s">
        <v>5</v>
      </c>
      <c r="F12" s="122" t="s">
        <v>6</v>
      </c>
      <c r="G12" s="122" t="s">
        <v>163</v>
      </c>
      <c r="H12" s="122" t="s">
        <v>162</v>
      </c>
      <c r="I12" s="415"/>
    </row>
    <row r="13" spans="1:9">
      <c r="A13" s="312" t="s">
        <v>919</v>
      </c>
      <c r="B13" s="324"/>
      <c r="C13" s="324"/>
      <c r="D13" s="416"/>
      <c r="E13" s="416"/>
      <c r="F13" s="416"/>
      <c r="G13" s="416"/>
      <c r="H13" s="416"/>
      <c r="I13" s="415"/>
    </row>
    <row r="14" spans="1:9">
      <c r="A14" s="741" t="s">
        <v>927</v>
      </c>
      <c r="B14" s="742"/>
      <c r="C14" s="742"/>
      <c r="D14" s="742"/>
      <c r="E14" s="742"/>
      <c r="F14" s="742"/>
      <c r="G14" s="742"/>
      <c r="H14" s="742"/>
      <c r="I14" s="415"/>
    </row>
    <row r="15" spans="1:9">
      <c r="A15" s="313" t="s">
        <v>640</v>
      </c>
      <c r="B15" s="325">
        <f t="shared" ref="B15:H15" si="0">+$B$7*$B$8*300</f>
        <v>9600</v>
      </c>
      <c r="C15" s="325">
        <f t="shared" si="0"/>
        <v>9600</v>
      </c>
      <c r="D15" s="325">
        <f t="shared" si="0"/>
        <v>9600</v>
      </c>
      <c r="E15" s="325">
        <f t="shared" si="0"/>
        <v>9600</v>
      </c>
      <c r="F15" s="325">
        <f t="shared" si="0"/>
        <v>9600</v>
      </c>
      <c r="G15" s="325">
        <f t="shared" si="0"/>
        <v>9600</v>
      </c>
      <c r="H15" s="325">
        <f t="shared" si="0"/>
        <v>9600</v>
      </c>
      <c r="I15" s="415"/>
    </row>
    <row r="16" spans="1:9" s="638" customFormat="1">
      <c r="A16" s="635" t="s">
        <v>936</v>
      </c>
      <c r="B16" s="636">
        <f>B15*0.7</f>
        <v>6720</v>
      </c>
      <c r="C16" s="636">
        <f t="shared" ref="C16:H17" si="1">+B16</f>
        <v>6720</v>
      </c>
      <c r="D16" s="636">
        <f t="shared" si="1"/>
        <v>6720</v>
      </c>
      <c r="E16" s="636">
        <f t="shared" si="1"/>
        <v>6720</v>
      </c>
      <c r="F16" s="636">
        <f t="shared" si="1"/>
        <v>6720</v>
      </c>
      <c r="G16" s="636">
        <f t="shared" si="1"/>
        <v>6720</v>
      </c>
      <c r="H16" s="636">
        <f t="shared" si="1"/>
        <v>6720</v>
      </c>
      <c r="I16" s="637"/>
    </row>
    <row r="17" spans="1:24" s="638" customFormat="1">
      <c r="A17" s="635" t="s">
        <v>937</v>
      </c>
      <c r="B17" s="636">
        <f>+B15-B16</f>
        <v>2880</v>
      </c>
      <c r="C17" s="636">
        <f t="shared" si="1"/>
        <v>2880</v>
      </c>
      <c r="D17" s="636">
        <f t="shared" si="1"/>
        <v>2880</v>
      </c>
      <c r="E17" s="636">
        <f t="shared" si="1"/>
        <v>2880</v>
      </c>
      <c r="F17" s="636">
        <f t="shared" si="1"/>
        <v>2880</v>
      </c>
      <c r="G17" s="636">
        <f t="shared" si="1"/>
        <v>2880</v>
      </c>
      <c r="H17" s="636">
        <f t="shared" si="1"/>
        <v>2880</v>
      </c>
      <c r="I17" s="637"/>
    </row>
    <row r="18" spans="1:24">
      <c r="A18" s="313" t="s">
        <v>626</v>
      </c>
      <c r="B18" s="571">
        <v>0.7</v>
      </c>
      <c r="C18" s="571">
        <v>0.7</v>
      </c>
      <c r="D18" s="571">
        <v>0.7</v>
      </c>
      <c r="E18" s="571">
        <v>0.7</v>
      </c>
      <c r="F18" s="571">
        <v>0.7</v>
      </c>
      <c r="G18" s="571">
        <f>+F18+5%</f>
        <v>0.75</v>
      </c>
      <c r="H18" s="571">
        <f>+G18+5%</f>
        <v>0.8</v>
      </c>
      <c r="I18" s="415"/>
    </row>
    <row r="19" spans="1:24">
      <c r="A19" s="313" t="s">
        <v>627</v>
      </c>
      <c r="B19" s="571">
        <v>0.7</v>
      </c>
      <c r="C19" s="571">
        <v>0.7</v>
      </c>
      <c r="D19" s="571">
        <v>0.7</v>
      </c>
      <c r="E19" s="571">
        <v>0.7</v>
      </c>
      <c r="F19" s="571">
        <v>0.7</v>
      </c>
      <c r="G19" s="571">
        <f>+F19+5%</f>
        <v>0.75</v>
      </c>
      <c r="H19" s="571">
        <f>+G19+5%</f>
        <v>0.8</v>
      </c>
      <c r="I19" s="415"/>
    </row>
    <row r="20" spans="1:24">
      <c r="A20" s="314"/>
      <c r="B20" s="314"/>
      <c r="C20" s="314"/>
      <c r="D20" s="342"/>
      <c r="E20" s="342"/>
      <c r="F20" s="342"/>
      <c r="G20" s="342"/>
      <c r="H20" s="342"/>
      <c r="I20" s="415"/>
    </row>
    <row r="21" spans="1:24">
      <c r="A21" s="315" t="s">
        <v>628</v>
      </c>
      <c r="B21" s="314"/>
      <c r="C21" s="314"/>
      <c r="D21" s="342"/>
      <c r="E21" s="342"/>
      <c r="F21" s="342"/>
      <c r="G21" s="342"/>
      <c r="H21" s="342"/>
      <c r="I21" s="415"/>
    </row>
    <row r="22" spans="1:24">
      <c r="A22" s="314" t="s">
        <v>903</v>
      </c>
      <c r="B22" s="314">
        <f t="shared" ref="B22:H22" si="2">B16*B18</f>
        <v>4704</v>
      </c>
      <c r="C22" s="314">
        <f t="shared" si="2"/>
        <v>4704</v>
      </c>
      <c r="D22" s="342">
        <f t="shared" si="2"/>
        <v>4704</v>
      </c>
      <c r="E22" s="342">
        <f t="shared" si="2"/>
        <v>4704</v>
      </c>
      <c r="F22" s="342">
        <f t="shared" si="2"/>
        <v>4704</v>
      </c>
      <c r="G22" s="342">
        <f t="shared" si="2"/>
        <v>5040</v>
      </c>
      <c r="H22" s="342">
        <f t="shared" si="2"/>
        <v>5376</v>
      </c>
      <c r="I22" s="415"/>
    </row>
    <row r="23" spans="1:24">
      <c r="A23" s="326" t="s">
        <v>641</v>
      </c>
      <c r="B23" s="572">
        <f>+'Input Sheet'!C103</f>
        <v>800</v>
      </c>
      <c r="C23" s="572">
        <f>+'Input Sheet'!D103</f>
        <v>840</v>
      </c>
      <c r="D23" s="572">
        <f>+'Input Sheet'!E103</f>
        <v>880</v>
      </c>
      <c r="E23" s="572">
        <f>+'Input Sheet'!F103</f>
        <v>920</v>
      </c>
      <c r="F23" s="572">
        <f>+'Input Sheet'!G103</f>
        <v>970</v>
      </c>
      <c r="G23" s="572">
        <f>+'Input Sheet'!H103</f>
        <v>1020</v>
      </c>
      <c r="H23" s="572">
        <f>+'Input Sheet'!I103</f>
        <v>1070</v>
      </c>
      <c r="I23" s="415"/>
    </row>
    <row r="24" spans="1:24">
      <c r="A24" s="328" t="s">
        <v>629</v>
      </c>
      <c r="B24" s="329">
        <f t="shared" ref="B24:H24" si="3">B22*B23/100000</f>
        <v>37.631999999999998</v>
      </c>
      <c r="C24" s="329">
        <f t="shared" si="3"/>
        <v>39.513599999999997</v>
      </c>
      <c r="D24" s="418">
        <f t="shared" si="3"/>
        <v>41.395200000000003</v>
      </c>
      <c r="E24" s="418">
        <f t="shared" si="3"/>
        <v>43.276800000000001</v>
      </c>
      <c r="F24" s="418">
        <f t="shared" si="3"/>
        <v>45.628799999999998</v>
      </c>
      <c r="G24" s="418">
        <f t="shared" si="3"/>
        <v>51.408000000000001</v>
      </c>
      <c r="H24" s="418">
        <f t="shared" si="3"/>
        <v>57.523200000000003</v>
      </c>
      <c r="I24" s="415"/>
    </row>
    <row r="25" spans="1:24">
      <c r="A25" s="328"/>
      <c r="B25" s="329"/>
      <c r="C25" s="329"/>
      <c r="D25" s="418"/>
      <c r="E25" s="418"/>
      <c r="F25" s="418"/>
      <c r="G25" s="418"/>
      <c r="H25" s="418"/>
      <c r="I25" s="415"/>
    </row>
    <row r="26" spans="1:24" hidden="1">
      <c r="A26" s="328" t="s">
        <v>865</v>
      </c>
      <c r="B26" s="329"/>
      <c r="C26" s="329"/>
      <c r="D26" s="418"/>
      <c r="E26" s="418"/>
      <c r="F26" s="418"/>
      <c r="G26" s="418"/>
      <c r="H26" s="418"/>
      <c r="I26" s="415"/>
    </row>
    <row r="27" spans="1:24" hidden="1">
      <c r="A27" s="348" t="s">
        <v>866</v>
      </c>
      <c r="B27" s="329"/>
      <c r="C27" s="329"/>
      <c r="D27" s="329"/>
      <c r="E27" s="329"/>
      <c r="F27" s="329"/>
      <c r="G27" s="329"/>
      <c r="H27" s="329"/>
      <c r="I27" s="415"/>
    </row>
    <row r="28" spans="1:24" hidden="1">
      <c r="A28" s="348" t="s">
        <v>867</v>
      </c>
      <c r="B28" s="329"/>
      <c r="C28" s="329"/>
      <c r="D28" s="329"/>
      <c r="E28" s="329"/>
      <c r="F28" s="329"/>
      <c r="G28" s="329"/>
      <c r="H28" s="329"/>
      <c r="I28" s="415"/>
    </row>
    <row r="29" spans="1:24" hidden="1">
      <c r="A29" s="348" t="s">
        <v>868</v>
      </c>
      <c r="B29" s="329"/>
      <c r="C29" s="329"/>
      <c r="D29" s="329"/>
      <c r="E29" s="329"/>
      <c r="F29" s="329"/>
      <c r="G29" s="329"/>
      <c r="H29" s="329"/>
      <c r="I29" s="415"/>
    </row>
    <row r="30" spans="1:24">
      <c r="A30" s="328"/>
      <c r="B30" s="329"/>
      <c r="C30" s="329"/>
      <c r="D30" s="418"/>
      <c r="E30" s="418"/>
      <c r="F30" s="418"/>
      <c r="G30" s="418"/>
      <c r="H30" s="418"/>
      <c r="I30" s="415"/>
    </row>
    <row r="31" spans="1:24">
      <c r="A31" s="328" t="s">
        <v>901</v>
      </c>
      <c r="B31" s="329"/>
      <c r="C31" s="329"/>
      <c r="D31" s="418"/>
      <c r="E31" s="418"/>
      <c r="F31" s="418"/>
      <c r="G31" s="418"/>
      <c r="H31" s="418"/>
      <c r="I31" s="415"/>
    </row>
    <row r="32" spans="1:24">
      <c r="A32" s="573" t="str">
        <f>+'Input Sheet'!B6</f>
        <v>Total Input (Chana) (MT)</v>
      </c>
      <c r="B32" s="314">
        <f t="shared" ref="B32:H36" si="4">+ROUND(B$17*B$19*$I32,0)</f>
        <v>806</v>
      </c>
      <c r="C32" s="314">
        <f t="shared" si="4"/>
        <v>806</v>
      </c>
      <c r="D32" s="342">
        <f t="shared" si="4"/>
        <v>806</v>
      </c>
      <c r="E32" s="342">
        <f t="shared" si="4"/>
        <v>806</v>
      </c>
      <c r="F32" s="342">
        <f t="shared" si="4"/>
        <v>806</v>
      </c>
      <c r="G32" s="342">
        <f t="shared" si="4"/>
        <v>864</v>
      </c>
      <c r="H32" s="342">
        <f t="shared" si="4"/>
        <v>922</v>
      </c>
      <c r="I32" s="574">
        <v>0.4</v>
      </c>
      <c r="J32" s="363">
        <f>+B22*$I$32</f>
        <v>1881.6000000000001</v>
      </c>
      <c r="K32" s="363">
        <f t="shared" ref="K32:P32" si="5">+C22*$I$32</f>
        <v>1881.6000000000001</v>
      </c>
      <c r="L32" s="363">
        <f t="shared" si="5"/>
        <v>1881.6000000000001</v>
      </c>
      <c r="M32" s="363">
        <f t="shared" si="5"/>
        <v>1881.6000000000001</v>
      </c>
      <c r="N32" s="363">
        <f t="shared" si="5"/>
        <v>1881.6000000000001</v>
      </c>
      <c r="O32" s="363">
        <f t="shared" si="5"/>
        <v>2016</v>
      </c>
      <c r="P32" s="363">
        <f t="shared" si="5"/>
        <v>2150.4</v>
      </c>
      <c r="R32" s="363">
        <f>+B32+J32</f>
        <v>2687.6000000000004</v>
      </c>
      <c r="S32" s="363">
        <f t="shared" ref="S32:X35" si="6">+C32+K32</f>
        <v>2687.6000000000004</v>
      </c>
      <c r="T32" s="363">
        <f t="shared" si="6"/>
        <v>2687.6000000000004</v>
      </c>
      <c r="U32" s="363">
        <f t="shared" si="6"/>
        <v>2687.6000000000004</v>
      </c>
      <c r="V32" s="363">
        <f t="shared" si="6"/>
        <v>2687.6000000000004</v>
      </c>
      <c r="W32" s="363">
        <f t="shared" si="6"/>
        <v>2880</v>
      </c>
      <c r="X32" s="363">
        <f t="shared" si="6"/>
        <v>3072.4</v>
      </c>
    </row>
    <row r="33" spans="1:26">
      <c r="A33" s="573" t="str">
        <f>+'Input Sheet'!B7</f>
        <v>Total Input (Soyabean) (MT)</v>
      </c>
      <c r="B33" s="314">
        <f>+ROUND(B$17*B$19*$I33,0)</f>
        <v>806</v>
      </c>
      <c r="C33" s="314">
        <f t="shared" si="4"/>
        <v>806</v>
      </c>
      <c r="D33" s="342">
        <f t="shared" si="4"/>
        <v>806</v>
      </c>
      <c r="E33" s="342">
        <f t="shared" si="4"/>
        <v>806</v>
      </c>
      <c r="F33" s="342">
        <f t="shared" si="4"/>
        <v>806</v>
      </c>
      <c r="G33" s="342">
        <f t="shared" si="4"/>
        <v>864</v>
      </c>
      <c r="H33" s="342">
        <f t="shared" si="4"/>
        <v>922</v>
      </c>
      <c r="I33" s="574">
        <v>0.4</v>
      </c>
      <c r="J33" s="363">
        <f>+B22*$I$33</f>
        <v>1881.6000000000001</v>
      </c>
      <c r="K33" s="363">
        <f t="shared" ref="K33:P33" si="7">+C22*$I$33</f>
        <v>1881.6000000000001</v>
      </c>
      <c r="L33" s="363">
        <f t="shared" si="7"/>
        <v>1881.6000000000001</v>
      </c>
      <c r="M33" s="363">
        <f t="shared" si="7"/>
        <v>1881.6000000000001</v>
      </c>
      <c r="N33" s="363">
        <f t="shared" si="7"/>
        <v>1881.6000000000001</v>
      </c>
      <c r="O33" s="363">
        <f t="shared" si="7"/>
        <v>2016</v>
      </c>
      <c r="P33" s="363">
        <f t="shared" si="7"/>
        <v>2150.4</v>
      </c>
      <c r="R33" s="363">
        <f t="shared" ref="R33:R35" si="8">+B33+J33</f>
        <v>2687.6000000000004</v>
      </c>
      <c r="S33" s="363">
        <f t="shared" si="6"/>
        <v>2687.6000000000004</v>
      </c>
      <c r="T33" s="363">
        <f t="shared" si="6"/>
        <v>2687.6000000000004</v>
      </c>
      <c r="U33" s="363">
        <f t="shared" si="6"/>
        <v>2687.6000000000004</v>
      </c>
      <c r="V33" s="363">
        <f t="shared" si="6"/>
        <v>2687.6000000000004</v>
      </c>
      <c r="W33" s="363">
        <f t="shared" si="6"/>
        <v>2880</v>
      </c>
      <c r="X33" s="363">
        <f t="shared" si="6"/>
        <v>3072.4</v>
      </c>
    </row>
    <row r="34" spans="1:26" hidden="1">
      <c r="A34" s="573" t="str">
        <f>+'Input Sheet'!B8</f>
        <v>Total Input -Udad (MT)</v>
      </c>
      <c r="B34" s="314">
        <f t="shared" si="4"/>
        <v>0</v>
      </c>
      <c r="C34" s="314">
        <f t="shared" si="4"/>
        <v>0</v>
      </c>
      <c r="D34" s="342">
        <f t="shared" si="4"/>
        <v>0</v>
      </c>
      <c r="E34" s="342">
        <f t="shared" si="4"/>
        <v>0</v>
      </c>
      <c r="F34" s="342">
        <f t="shared" si="4"/>
        <v>0</v>
      </c>
      <c r="G34" s="342">
        <f t="shared" si="4"/>
        <v>0</v>
      </c>
      <c r="H34" s="342">
        <f t="shared" si="4"/>
        <v>0</v>
      </c>
      <c r="I34" s="574">
        <f>+'Input Sheet'!C8</f>
        <v>0</v>
      </c>
      <c r="K34" s="363"/>
      <c r="L34" s="363"/>
      <c r="M34" s="363"/>
      <c r="N34" s="363"/>
      <c r="O34" s="363"/>
      <c r="P34" s="363"/>
      <c r="R34" s="363">
        <f t="shared" si="8"/>
        <v>0</v>
      </c>
      <c r="S34" s="363">
        <f t="shared" si="6"/>
        <v>0</v>
      </c>
      <c r="T34" s="363">
        <f t="shared" si="6"/>
        <v>0</v>
      </c>
      <c r="U34" s="363">
        <f t="shared" si="6"/>
        <v>0</v>
      </c>
      <c r="V34" s="363">
        <f t="shared" si="6"/>
        <v>0</v>
      </c>
      <c r="W34" s="363">
        <f t="shared" si="6"/>
        <v>0</v>
      </c>
      <c r="X34" s="363">
        <f t="shared" si="6"/>
        <v>0</v>
      </c>
    </row>
    <row r="35" spans="1:26">
      <c r="A35" s="573" t="str">
        <f>+'Input Sheet'!B9</f>
        <v>Total Input -Tur (MT)</v>
      </c>
      <c r="B35" s="314">
        <f t="shared" si="4"/>
        <v>403</v>
      </c>
      <c r="C35" s="314">
        <f t="shared" si="4"/>
        <v>403</v>
      </c>
      <c r="D35" s="342">
        <f t="shared" si="4"/>
        <v>403</v>
      </c>
      <c r="E35" s="342">
        <f t="shared" si="4"/>
        <v>403</v>
      </c>
      <c r="F35" s="342">
        <f t="shared" si="4"/>
        <v>403</v>
      </c>
      <c r="G35" s="342">
        <f t="shared" si="4"/>
        <v>432</v>
      </c>
      <c r="H35" s="342">
        <f t="shared" si="4"/>
        <v>461</v>
      </c>
      <c r="I35" s="574">
        <f>+'Input Sheet'!C9</f>
        <v>0.2</v>
      </c>
      <c r="J35" s="363">
        <f>+B22*$I$35</f>
        <v>940.80000000000007</v>
      </c>
      <c r="K35" s="363">
        <f t="shared" ref="K35:P35" si="9">+C22*$I$35</f>
        <v>940.80000000000007</v>
      </c>
      <c r="L35" s="363">
        <f t="shared" si="9"/>
        <v>940.80000000000007</v>
      </c>
      <c r="M35" s="363">
        <f t="shared" si="9"/>
        <v>940.80000000000007</v>
      </c>
      <c r="N35" s="363">
        <f t="shared" si="9"/>
        <v>940.80000000000007</v>
      </c>
      <c r="O35" s="363">
        <f t="shared" si="9"/>
        <v>1008</v>
      </c>
      <c r="P35" s="363">
        <f t="shared" si="9"/>
        <v>1075.2</v>
      </c>
      <c r="R35" s="363">
        <f t="shared" si="8"/>
        <v>1343.8000000000002</v>
      </c>
      <c r="S35" s="363">
        <f t="shared" si="6"/>
        <v>1343.8000000000002</v>
      </c>
      <c r="T35" s="363">
        <f t="shared" si="6"/>
        <v>1343.8000000000002</v>
      </c>
      <c r="U35" s="363">
        <f t="shared" si="6"/>
        <v>1343.8000000000002</v>
      </c>
      <c r="V35" s="363">
        <f t="shared" si="6"/>
        <v>1343.8000000000002</v>
      </c>
      <c r="W35" s="363">
        <f t="shared" si="6"/>
        <v>1440</v>
      </c>
      <c r="X35" s="363">
        <f t="shared" si="6"/>
        <v>1536.2</v>
      </c>
    </row>
    <row r="36" spans="1:26" hidden="1">
      <c r="A36" s="573" t="str">
        <f>+'Input Sheet'!B10</f>
        <v>Total Input -Chilli (MT)</v>
      </c>
      <c r="B36" s="314">
        <f t="shared" si="4"/>
        <v>0</v>
      </c>
      <c r="C36" s="314">
        <f t="shared" si="4"/>
        <v>0</v>
      </c>
      <c r="D36" s="342">
        <f t="shared" si="4"/>
        <v>0</v>
      </c>
      <c r="E36" s="342">
        <f t="shared" si="4"/>
        <v>0</v>
      </c>
      <c r="F36" s="342">
        <f t="shared" si="4"/>
        <v>0</v>
      </c>
      <c r="G36" s="342">
        <f t="shared" si="4"/>
        <v>0</v>
      </c>
      <c r="H36" s="342">
        <f t="shared" si="4"/>
        <v>0</v>
      </c>
      <c r="I36" s="574">
        <f>+'Input Sheet'!C10</f>
        <v>0</v>
      </c>
    </row>
    <row r="37" spans="1:26">
      <c r="A37" s="573" t="s">
        <v>834</v>
      </c>
      <c r="B37" s="331">
        <f t="shared" ref="B37:H37" si="10">SUM(B32:B36)</f>
        <v>2015</v>
      </c>
      <c r="C37" s="331">
        <f t="shared" si="10"/>
        <v>2015</v>
      </c>
      <c r="D37" s="331">
        <f t="shared" si="10"/>
        <v>2015</v>
      </c>
      <c r="E37" s="331">
        <f t="shared" si="10"/>
        <v>2015</v>
      </c>
      <c r="F37" s="331">
        <f t="shared" si="10"/>
        <v>2015</v>
      </c>
      <c r="G37" s="331">
        <f t="shared" si="10"/>
        <v>2160</v>
      </c>
      <c r="H37" s="331">
        <f t="shared" si="10"/>
        <v>2305</v>
      </c>
      <c r="I37" s="415"/>
    </row>
    <row r="38" spans="1:26">
      <c r="A38" s="330"/>
      <c r="B38" s="331"/>
      <c r="C38" s="331"/>
      <c r="D38" s="387"/>
      <c r="E38" s="387"/>
      <c r="F38" s="387"/>
      <c r="G38" s="387"/>
      <c r="H38" s="387"/>
      <c r="I38" s="415"/>
    </row>
    <row r="39" spans="1:26">
      <c r="A39" s="330"/>
      <c r="B39" s="331"/>
      <c r="C39" s="331"/>
      <c r="D39" s="387"/>
      <c r="E39" s="387"/>
      <c r="F39" s="387"/>
      <c r="G39" s="387"/>
      <c r="H39" s="387"/>
      <c r="I39" s="415"/>
    </row>
    <row r="40" spans="1:26">
      <c r="A40" s="330"/>
      <c r="B40" s="331"/>
      <c r="C40" s="331"/>
      <c r="D40" s="387"/>
      <c r="E40" s="387"/>
      <c r="F40" s="387"/>
      <c r="G40" s="387"/>
      <c r="H40" s="387"/>
      <c r="I40" s="415"/>
    </row>
    <row r="41" spans="1:26">
      <c r="A41" s="576" t="str">
        <f>+'Input Sheet'!B27</f>
        <v>Captive Operations Grade Output (Chana)(MT)</v>
      </c>
      <c r="B41" s="314"/>
      <c r="C41" s="314"/>
      <c r="D41" s="342"/>
      <c r="E41" s="342"/>
      <c r="F41" s="342"/>
      <c r="G41" s="342"/>
      <c r="H41" s="342"/>
      <c r="I41" s="415"/>
    </row>
    <row r="42" spans="1:26">
      <c r="A42" s="576" t="str">
        <f>+'Input Sheet'!B28</f>
        <v>Grade I</v>
      </c>
      <c r="B42" s="331">
        <f t="shared" ref="B42:H44" si="11">+ROUND(B$32*$I42,0)</f>
        <v>484</v>
      </c>
      <c r="C42" s="331">
        <f t="shared" si="11"/>
        <v>484</v>
      </c>
      <c r="D42" s="387">
        <f t="shared" si="11"/>
        <v>484</v>
      </c>
      <c r="E42" s="387">
        <f t="shared" si="11"/>
        <v>484</v>
      </c>
      <c r="F42" s="387">
        <f t="shared" si="11"/>
        <v>484</v>
      </c>
      <c r="G42" s="387">
        <f t="shared" si="11"/>
        <v>518</v>
      </c>
      <c r="H42" s="387">
        <f t="shared" si="11"/>
        <v>553</v>
      </c>
      <c r="I42" s="575">
        <f>+'Input Sheet'!C28</f>
        <v>0.6</v>
      </c>
      <c r="J42" s="363">
        <f>+J32*$I$42</f>
        <v>1128.96</v>
      </c>
      <c r="K42" s="363">
        <f t="shared" ref="K42:P42" si="12">+K32*$I$42</f>
        <v>1128.96</v>
      </c>
      <c r="L42" s="363">
        <f t="shared" si="12"/>
        <v>1128.96</v>
      </c>
      <c r="M42" s="363">
        <f t="shared" si="12"/>
        <v>1128.96</v>
      </c>
      <c r="N42" s="363">
        <f t="shared" si="12"/>
        <v>1128.96</v>
      </c>
      <c r="O42" s="363">
        <f t="shared" si="12"/>
        <v>1209.5999999999999</v>
      </c>
      <c r="P42" s="363">
        <f t="shared" si="12"/>
        <v>1290.24</v>
      </c>
      <c r="Q42" s="27">
        <f>+R42/$R$45</f>
        <v>0.60014883167137967</v>
      </c>
      <c r="R42" s="638">
        <f>+B42+J42</f>
        <v>1612.96</v>
      </c>
      <c r="S42" s="638">
        <f t="shared" ref="S42:X44" si="13">+C42+K42</f>
        <v>1612.96</v>
      </c>
      <c r="T42" s="638">
        <f t="shared" si="13"/>
        <v>1612.96</v>
      </c>
      <c r="U42" s="638">
        <f t="shared" si="13"/>
        <v>1612.96</v>
      </c>
      <c r="V42" s="638">
        <f t="shared" si="13"/>
        <v>1612.96</v>
      </c>
      <c r="W42" s="638">
        <f t="shared" si="13"/>
        <v>1727.6</v>
      </c>
      <c r="X42" s="638">
        <f t="shared" si="13"/>
        <v>1843.24</v>
      </c>
      <c r="Y42" s="27"/>
      <c r="Z42" s="27"/>
    </row>
    <row r="43" spans="1:26">
      <c r="A43" s="576" t="str">
        <f>+'Input Sheet'!B29</f>
        <v>Grade II</v>
      </c>
      <c r="B43" s="331">
        <f t="shared" si="11"/>
        <v>282</v>
      </c>
      <c r="C43" s="331">
        <f t="shared" si="11"/>
        <v>282</v>
      </c>
      <c r="D43" s="387">
        <f t="shared" si="11"/>
        <v>282</v>
      </c>
      <c r="E43" s="387">
        <f t="shared" si="11"/>
        <v>282</v>
      </c>
      <c r="F43" s="387">
        <f t="shared" si="11"/>
        <v>282</v>
      </c>
      <c r="G43" s="387">
        <f t="shared" si="11"/>
        <v>302</v>
      </c>
      <c r="H43" s="387">
        <f t="shared" si="11"/>
        <v>323</v>
      </c>
      <c r="I43" s="575">
        <f>+'Input Sheet'!C29</f>
        <v>0.35</v>
      </c>
      <c r="J43" s="363">
        <f>+J32*$I$43</f>
        <v>658.56000000000006</v>
      </c>
      <c r="K43" s="363">
        <f t="shared" ref="K43:P43" si="14">+K32*$I$43</f>
        <v>658.56000000000006</v>
      </c>
      <c r="L43" s="363">
        <f t="shared" si="14"/>
        <v>658.56000000000006</v>
      </c>
      <c r="M43" s="363">
        <f t="shared" si="14"/>
        <v>658.56000000000006</v>
      </c>
      <c r="N43" s="363">
        <f t="shared" si="14"/>
        <v>658.56000000000006</v>
      </c>
      <c r="O43" s="363">
        <f t="shared" si="14"/>
        <v>705.59999999999991</v>
      </c>
      <c r="P43" s="363">
        <f t="shared" si="14"/>
        <v>752.64</v>
      </c>
      <c r="Q43" s="27">
        <f>+R43/$R$45</f>
        <v>0.34996279208215514</v>
      </c>
      <c r="R43" s="638">
        <f>+B43+J43</f>
        <v>940.56000000000006</v>
      </c>
      <c r="S43" s="638">
        <f t="shared" si="13"/>
        <v>940.56000000000006</v>
      </c>
      <c r="T43" s="638">
        <f t="shared" si="13"/>
        <v>940.56000000000006</v>
      </c>
      <c r="U43" s="638">
        <f t="shared" si="13"/>
        <v>940.56000000000006</v>
      </c>
      <c r="V43" s="638">
        <f t="shared" si="13"/>
        <v>940.56000000000006</v>
      </c>
      <c r="W43" s="638">
        <f t="shared" si="13"/>
        <v>1007.5999999999999</v>
      </c>
      <c r="X43" s="638">
        <f t="shared" si="13"/>
        <v>1075.6399999999999</v>
      </c>
    </row>
    <row r="44" spans="1:26">
      <c r="A44" s="576" t="str">
        <f>+'Input Sheet'!B30</f>
        <v>Waste</v>
      </c>
      <c r="B44" s="331">
        <f t="shared" si="11"/>
        <v>40</v>
      </c>
      <c r="C44" s="331">
        <f t="shared" si="11"/>
        <v>40</v>
      </c>
      <c r="D44" s="387">
        <f t="shared" si="11"/>
        <v>40</v>
      </c>
      <c r="E44" s="387">
        <f t="shared" si="11"/>
        <v>40</v>
      </c>
      <c r="F44" s="387">
        <f t="shared" si="11"/>
        <v>40</v>
      </c>
      <c r="G44" s="387">
        <f t="shared" si="11"/>
        <v>43</v>
      </c>
      <c r="H44" s="387">
        <f t="shared" si="11"/>
        <v>46</v>
      </c>
      <c r="I44" s="575">
        <f>+'Input Sheet'!C30</f>
        <v>0.05</v>
      </c>
      <c r="J44" s="363">
        <f>+J32*$I$44</f>
        <v>94.080000000000013</v>
      </c>
      <c r="K44" s="363">
        <f t="shared" ref="K44:P44" si="15">+K32*$I$44</f>
        <v>94.080000000000013</v>
      </c>
      <c r="L44" s="363">
        <f t="shared" si="15"/>
        <v>94.080000000000013</v>
      </c>
      <c r="M44" s="363">
        <f t="shared" si="15"/>
        <v>94.080000000000013</v>
      </c>
      <c r="N44" s="363">
        <f t="shared" si="15"/>
        <v>94.080000000000013</v>
      </c>
      <c r="O44" s="363">
        <f t="shared" si="15"/>
        <v>100.80000000000001</v>
      </c>
      <c r="P44" s="363">
        <f t="shared" si="15"/>
        <v>107.52000000000001</v>
      </c>
      <c r="Q44" s="27">
        <f>+R44/$R$45</f>
        <v>4.9888376246465256E-2</v>
      </c>
      <c r="R44" s="27">
        <f>+B44+J44</f>
        <v>134.08000000000001</v>
      </c>
      <c r="S44" s="27">
        <f t="shared" si="13"/>
        <v>134.08000000000001</v>
      </c>
      <c r="T44" s="27">
        <f t="shared" si="13"/>
        <v>134.08000000000001</v>
      </c>
      <c r="U44" s="27">
        <f t="shared" si="13"/>
        <v>134.08000000000001</v>
      </c>
      <c r="V44" s="27">
        <f t="shared" si="13"/>
        <v>134.08000000000001</v>
      </c>
      <c r="W44" s="27">
        <f t="shared" si="13"/>
        <v>143.80000000000001</v>
      </c>
      <c r="X44" s="27">
        <f t="shared" si="13"/>
        <v>153.52000000000001</v>
      </c>
    </row>
    <row r="45" spans="1:26">
      <c r="A45" s="314"/>
      <c r="B45" s="314"/>
      <c r="C45" s="314"/>
      <c r="D45" s="342"/>
      <c r="E45" s="342"/>
      <c r="F45" s="342"/>
      <c r="G45" s="342"/>
      <c r="H45" s="342"/>
      <c r="I45" s="415"/>
      <c r="R45" s="56">
        <f>SUM(R42:R44)</f>
        <v>2687.6</v>
      </c>
    </row>
    <row r="46" spans="1:26">
      <c r="A46" s="576" t="str">
        <f>+'Input Sheet'!B34</f>
        <v>Captive Operations Grade Output (Soyabean)(MT)</v>
      </c>
      <c r="B46" s="314"/>
      <c r="C46" s="314"/>
      <c r="D46" s="342"/>
      <c r="E46" s="342"/>
      <c r="F46" s="342"/>
      <c r="G46" s="342"/>
      <c r="H46" s="342"/>
      <c r="I46" s="415"/>
    </row>
    <row r="47" spans="1:26">
      <c r="A47" s="576" t="str">
        <f>+'Input Sheet'!B35</f>
        <v>Grade I</v>
      </c>
      <c r="B47" s="331">
        <f t="shared" ref="B47:H49" si="16">+ROUND(B$33*$I47,0)</f>
        <v>484</v>
      </c>
      <c r="C47" s="331">
        <f t="shared" si="16"/>
        <v>484</v>
      </c>
      <c r="D47" s="387">
        <f t="shared" si="16"/>
        <v>484</v>
      </c>
      <c r="E47" s="387">
        <f t="shared" si="16"/>
        <v>484</v>
      </c>
      <c r="F47" s="387">
        <f t="shared" si="16"/>
        <v>484</v>
      </c>
      <c r="G47" s="387">
        <f t="shared" si="16"/>
        <v>518</v>
      </c>
      <c r="H47" s="387">
        <f t="shared" si="16"/>
        <v>553</v>
      </c>
      <c r="I47" s="575">
        <f>+'Input Sheet'!C35</f>
        <v>0.6</v>
      </c>
      <c r="J47" s="363">
        <f>+J33*$I$47</f>
        <v>1128.96</v>
      </c>
      <c r="K47" s="363">
        <f t="shared" ref="K47:P47" si="17">+K33*$I$47</f>
        <v>1128.96</v>
      </c>
      <c r="L47" s="363">
        <f t="shared" si="17"/>
        <v>1128.96</v>
      </c>
      <c r="M47" s="363">
        <f t="shared" si="17"/>
        <v>1128.96</v>
      </c>
      <c r="N47" s="363">
        <f t="shared" si="17"/>
        <v>1128.96</v>
      </c>
      <c r="O47" s="363">
        <f t="shared" si="17"/>
        <v>1209.5999999999999</v>
      </c>
      <c r="P47" s="363">
        <f t="shared" si="17"/>
        <v>1290.24</v>
      </c>
      <c r="Q47" s="27">
        <f>+R47/$R$50</f>
        <v>0.60014883167137967</v>
      </c>
      <c r="R47" s="638">
        <f>+B47+J47</f>
        <v>1612.96</v>
      </c>
      <c r="S47" s="638">
        <f t="shared" ref="S47:S49" si="18">+C47+K47</f>
        <v>1612.96</v>
      </c>
      <c r="T47" s="638">
        <f t="shared" ref="T47:T49" si="19">+D47+L47</f>
        <v>1612.96</v>
      </c>
      <c r="U47" s="638">
        <f t="shared" ref="U47:U49" si="20">+E47+M47</f>
        <v>1612.96</v>
      </c>
      <c r="V47" s="638">
        <f t="shared" ref="V47:V49" si="21">+F47+N47</f>
        <v>1612.96</v>
      </c>
      <c r="W47" s="638">
        <f t="shared" ref="W47:W49" si="22">+G47+O47</f>
        <v>1727.6</v>
      </c>
      <c r="X47" s="638">
        <f t="shared" ref="X47:X49" si="23">+H47+P47</f>
        <v>1843.24</v>
      </c>
    </row>
    <row r="48" spans="1:26">
      <c r="A48" s="576" t="str">
        <f>+'Input Sheet'!B36</f>
        <v>Grade II</v>
      </c>
      <c r="B48" s="331">
        <f t="shared" si="16"/>
        <v>282</v>
      </c>
      <c r="C48" s="331">
        <f t="shared" si="16"/>
        <v>282</v>
      </c>
      <c r="D48" s="387">
        <f t="shared" si="16"/>
        <v>282</v>
      </c>
      <c r="E48" s="387">
        <f t="shared" si="16"/>
        <v>282</v>
      </c>
      <c r="F48" s="387">
        <f t="shared" si="16"/>
        <v>282</v>
      </c>
      <c r="G48" s="387">
        <f t="shared" si="16"/>
        <v>302</v>
      </c>
      <c r="H48" s="387">
        <f t="shared" si="16"/>
        <v>323</v>
      </c>
      <c r="I48" s="575">
        <f>+'Input Sheet'!C36</f>
        <v>0.35</v>
      </c>
      <c r="J48" s="363">
        <f>+$I$48*J33</f>
        <v>658.56000000000006</v>
      </c>
      <c r="K48" s="363">
        <f t="shared" ref="K48:P48" si="24">+$I$48*K33</f>
        <v>658.56000000000006</v>
      </c>
      <c r="L48" s="363">
        <f t="shared" si="24"/>
        <v>658.56000000000006</v>
      </c>
      <c r="M48" s="363">
        <f t="shared" si="24"/>
        <v>658.56000000000006</v>
      </c>
      <c r="N48" s="363">
        <f t="shared" si="24"/>
        <v>658.56000000000006</v>
      </c>
      <c r="O48" s="363">
        <f t="shared" si="24"/>
        <v>705.59999999999991</v>
      </c>
      <c r="P48" s="363">
        <f t="shared" si="24"/>
        <v>752.64</v>
      </c>
      <c r="Q48" s="27">
        <f>+R48/$R$50</f>
        <v>0.34996279208215514</v>
      </c>
      <c r="R48" s="638">
        <f>+B48+J48</f>
        <v>940.56000000000006</v>
      </c>
      <c r="S48" s="638">
        <f t="shared" si="18"/>
        <v>940.56000000000006</v>
      </c>
      <c r="T48" s="638">
        <f t="shared" si="19"/>
        <v>940.56000000000006</v>
      </c>
      <c r="U48" s="638">
        <f t="shared" si="20"/>
        <v>940.56000000000006</v>
      </c>
      <c r="V48" s="638">
        <f t="shared" si="21"/>
        <v>940.56000000000006</v>
      </c>
      <c r="W48" s="638">
        <f t="shared" si="22"/>
        <v>1007.5999999999999</v>
      </c>
      <c r="X48" s="638">
        <f t="shared" si="23"/>
        <v>1075.6399999999999</v>
      </c>
    </row>
    <row r="49" spans="1:24">
      <c r="A49" s="576" t="str">
        <f>+'Input Sheet'!B37</f>
        <v>Waste</v>
      </c>
      <c r="B49" s="331">
        <f t="shared" si="16"/>
        <v>40</v>
      </c>
      <c r="C49" s="331">
        <f t="shared" si="16"/>
        <v>40</v>
      </c>
      <c r="D49" s="387">
        <f t="shared" si="16"/>
        <v>40</v>
      </c>
      <c r="E49" s="387">
        <f t="shared" si="16"/>
        <v>40</v>
      </c>
      <c r="F49" s="387">
        <f t="shared" si="16"/>
        <v>40</v>
      </c>
      <c r="G49" s="387">
        <f t="shared" si="16"/>
        <v>43</v>
      </c>
      <c r="H49" s="387">
        <f t="shared" si="16"/>
        <v>46</v>
      </c>
      <c r="I49" s="575">
        <v>0.05</v>
      </c>
      <c r="J49" s="363">
        <f>+$I$49*J33</f>
        <v>94.080000000000013</v>
      </c>
      <c r="K49" s="363">
        <f t="shared" ref="K49:P49" si="25">+$I$49*K33</f>
        <v>94.080000000000013</v>
      </c>
      <c r="L49" s="363">
        <f t="shared" si="25"/>
        <v>94.080000000000013</v>
      </c>
      <c r="M49" s="363">
        <f t="shared" si="25"/>
        <v>94.080000000000013</v>
      </c>
      <c r="N49" s="363">
        <f t="shared" si="25"/>
        <v>94.080000000000013</v>
      </c>
      <c r="O49" s="363">
        <f t="shared" si="25"/>
        <v>100.80000000000001</v>
      </c>
      <c r="P49" s="363">
        <f t="shared" si="25"/>
        <v>107.52000000000001</v>
      </c>
      <c r="Q49" s="27">
        <f>+R49/$R$50</f>
        <v>4.9888376246465256E-2</v>
      </c>
      <c r="R49" s="638">
        <f>+B49+J49</f>
        <v>134.08000000000001</v>
      </c>
      <c r="S49" s="638">
        <f t="shared" si="18"/>
        <v>134.08000000000001</v>
      </c>
      <c r="T49" s="638">
        <f t="shared" si="19"/>
        <v>134.08000000000001</v>
      </c>
      <c r="U49" s="638">
        <f t="shared" si="20"/>
        <v>134.08000000000001</v>
      </c>
      <c r="V49" s="638">
        <f t="shared" si="21"/>
        <v>134.08000000000001</v>
      </c>
      <c r="W49" s="638">
        <f t="shared" si="22"/>
        <v>143.80000000000001</v>
      </c>
      <c r="X49" s="638">
        <f t="shared" si="23"/>
        <v>153.52000000000001</v>
      </c>
    </row>
    <row r="50" spans="1:24">
      <c r="A50" s="314"/>
      <c r="B50" s="314"/>
      <c r="C50" s="314"/>
      <c r="D50" s="342"/>
      <c r="E50" s="342"/>
      <c r="F50" s="342"/>
      <c r="G50" s="342"/>
      <c r="H50" s="342"/>
      <c r="I50" s="415"/>
      <c r="R50" s="27">
        <f>SUM(R47:R49)</f>
        <v>2687.6</v>
      </c>
    </row>
    <row r="51" spans="1:24" hidden="1">
      <c r="A51" s="577" t="str">
        <f>+'Input Sheet'!B41</f>
        <v>Captive Operations Grade Output (Udad)(MT)</v>
      </c>
      <c r="B51" s="314"/>
      <c r="C51" s="314"/>
      <c r="D51" s="342"/>
      <c r="E51" s="342"/>
      <c r="F51" s="342"/>
      <c r="G51" s="342"/>
      <c r="H51" s="342"/>
      <c r="I51" s="415"/>
    </row>
    <row r="52" spans="1:24" hidden="1">
      <c r="A52" s="578" t="str">
        <f>+'Input Sheet'!B42</f>
        <v>Grade I</v>
      </c>
      <c r="B52" s="331">
        <f t="shared" ref="B52:H52" si="26">+ROUND(B$34*$I52,0)</f>
        <v>0</v>
      </c>
      <c r="C52" s="331">
        <f t="shared" si="26"/>
        <v>0</v>
      </c>
      <c r="D52" s="387">
        <f t="shared" si="26"/>
        <v>0</v>
      </c>
      <c r="E52" s="387">
        <f t="shared" si="26"/>
        <v>0</v>
      </c>
      <c r="F52" s="387">
        <f t="shared" si="26"/>
        <v>0</v>
      </c>
      <c r="G52" s="387">
        <f t="shared" si="26"/>
        <v>0</v>
      </c>
      <c r="H52" s="387">
        <f t="shared" si="26"/>
        <v>0</v>
      </c>
      <c r="I52" s="575">
        <f>+'Input Sheet'!C42</f>
        <v>0.6</v>
      </c>
    </row>
    <row r="53" spans="1:24" hidden="1">
      <c r="A53" s="578" t="str">
        <f>+'Input Sheet'!B43</f>
        <v>Grade II</v>
      </c>
      <c r="B53" s="331">
        <f t="shared" ref="B53:H53" si="27">+ROUND(B$34*$I53,0)</f>
        <v>0</v>
      </c>
      <c r="C53" s="331">
        <f t="shared" si="27"/>
        <v>0</v>
      </c>
      <c r="D53" s="331">
        <f t="shared" si="27"/>
        <v>0</v>
      </c>
      <c r="E53" s="331">
        <f t="shared" si="27"/>
        <v>0</v>
      </c>
      <c r="F53" s="331">
        <f t="shared" si="27"/>
        <v>0</v>
      </c>
      <c r="G53" s="331">
        <f t="shared" si="27"/>
        <v>0</v>
      </c>
      <c r="H53" s="331">
        <f t="shared" si="27"/>
        <v>0</v>
      </c>
      <c r="I53" s="575">
        <f>+'Input Sheet'!C43</f>
        <v>0.35</v>
      </c>
    </row>
    <row r="54" spans="1:24" hidden="1">
      <c r="A54" s="578" t="str">
        <f>+'Input Sheet'!B44</f>
        <v>Waste</v>
      </c>
      <c r="B54" s="331">
        <f t="shared" ref="B54:H54" si="28">+ROUND(B$34*$I54,0)</f>
        <v>0</v>
      </c>
      <c r="C54" s="331">
        <f t="shared" si="28"/>
        <v>0</v>
      </c>
      <c r="D54" s="387">
        <f t="shared" si="28"/>
        <v>0</v>
      </c>
      <c r="E54" s="387">
        <f t="shared" si="28"/>
        <v>0</v>
      </c>
      <c r="F54" s="387">
        <f t="shared" si="28"/>
        <v>0</v>
      </c>
      <c r="G54" s="387">
        <f t="shared" si="28"/>
        <v>0</v>
      </c>
      <c r="H54" s="387">
        <f t="shared" si="28"/>
        <v>0</v>
      </c>
      <c r="I54" s="575">
        <f>+'Input Sheet'!C44</f>
        <v>0.05</v>
      </c>
    </row>
    <row r="55" spans="1:24">
      <c r="A55" s="314"/>
      <c r="B55" s="314"/>
      <c r="C55" s="314"/>
      <c r="D55" s="342"/>
      <c r="E55" s="342"/>
      <c r="F55" s="342"/>
      <c r="G55" s="342"/>
      <c r="H55" s="342"/>
      <c r="I55" s="415"/>
    </row>
    <row r="56" spans="1:24">
      <c r="A56" s="577" t="str">
        <f>+'Input Sheet'!B46</f>
        <v>Captive Operations Grade Output -Tur(MT)</v>
      </c>
      <c r="B56" s="314"/>
      <c r="C56" s="314"/>
      <c r="D56" s="342"/>
      <c r="E56" s="342"/>
      <c r="F56" s="342"/>
      <c r="G56" s="342"/>
      <c r="H56" s="342"/>
      <c r="I56" s="415"/>
    </row>
    <row r="57" spans="1:24">
      <c r="A57" s="578" t="str">
        <f>+'Input Sheet'!B47</f>
        <v>Grade I</v>
      </c>
      <c r="B57" s="331">
        <f t="shared" ref="B57:H59" si="29">+ROUND(B$35*$I57,0)</f>
        <v>222</v>
      </c>
      <c r="C57" s="331">
        <f t="shared" si="29"/>
        <v>222</v>
      </c>
      <c r="D57" s="387">
        <f t="shared" si="29"/>
        <v>222</v>
      </c>
      <c r="E57" s="387">
        <f t="shared" si="29"/>
        <v>222</v>
      </c>
      <c r="F57" s="387">
        <f t="shared" si="29"/>
        <v>222</v>
      </c>
      <c r="G57" s="387">
        <f t="shared" si="29"/>
        <v>238</v>
      </c>
      <c r="H57" s="387">
        <f t="shared" si="29"/>
        <v>254</v>
      </c>
      <c r="I57" s="575">
        <f>+'Input Sheet'!C47</f>
        <v>0.55000000000000004</v>
      </c>
      <c r="J57" s="363">
        <f>+J42</f>
        <v>1128.96</v>
      </c>
      <c r="K57" s="363">
        <f t="shared" ref="K57:P57" si="30">+K42</f>
        <v>1128.96</v>
      </c>
      <c r="L57" s="363">
        <f t="shared" si="30"/>
        <v>1128.96</v>
      </c>
      <c r="M57" s="363">
        <f t="shared" si="30"/>
        <v>1128.96</v>
      </c>
      <c r="N57" s="363">
        <f t="shared" si="30"/>
        <v>1128.96</v>
      </c>
      <c r="O57" s="363">
        <f t="shared" si="30"/>
        <v>1209.5999999999999</v>
      </c>
      <c r="P57" s="363">
        <f t="shared" si="30"/>
        <v>1290.24</v>
      </c>
      <c r="R57" s="27">
        <f>+B57+J57</f>
        <v>1350.96</v>
      </c>
      <c r="S57" s="27">
        <f t="shared" ref="S57:S59" si="31">+C57+K57</f>
        <v>1350.96</v>
      </c>
      <c r="T57" s="27">
        <f t="shared" ref="T57:T59" si="32">+D57+L57</f>
        <v>1350.96</v>
      </c>
      <c r="U57" s="27">
        <f t="shared" ref="U57:U59" si="33">+E57+M57</f>
        <v>1350.96</v>
      </c>
      <c r="V57" s="27">
        <f t="shared" ref="V57:V59" si="34">+F57+N57</f>
        <v>1350.96</v>
      </c>
      <c r="W57" s="27">
        <f t="shared" ref="W57:W59" si="35">+G57+O57</f>
        <v>1447.6</v>
      </c>
      <c r="X57" s="27">
        <f t="shared" ref="X57:X59" si="36">+H57+P57</f>
        <v>1544.24</v>
      </c>
    </row>
    <row r="58" spans="1:24">
      <c r="A58" s="578" t="str">
        <f>+'Input Sheet'!B48</f>
        <v>Grade II</v>
      </c>
      <c r="B58" s="331">
        <f t="shared" si="29"/>
        <v>161</v>
      </c>
      <c r="C58" s="331">
        <f t="shared" si="29"/>
        <v>161</v>
      </c>
      <c r="D58" s="387">
        <f t="shared" si="29"/>
        <v>161</v>
      </c>
      <c r="E58" s="387">
        <f t="shared" si="29"/>
        <v>161</v>
      </c>
      <c r="F58" s="387">
        <f t="shared" si="29"/>
        <v>161</v>
      </c>
      <c r="G58" s="387">
        <f t="shared" si="29"/>
        <v>173</v>
      </c>
      <c r="H58" s="387">
        <f t="shared" si="29"/>
        <v>184</v>
      </c>
      <c r="I58" s="575">
        <f>+'Input Sheet'!C48</f>
        <v>0.4</v>
      </c>
      <c r="J58" s="363">
        <f>+J43</f>
        <v>658.56000000000006</v>
      </c>
      <c r="K58" s="363">
        <f t="shared" ref="K58:P58" si="37">+K43</f>
        <v>658.56000000000006</v>
      </c>
      <c r="L58" s="363">
        <f t="shared" si="37"/>
        <v>658.56000000000006</v>
      </c>
      <c r="M58" s="363">
        <f t="shared" si="37"/>
        <v>658.56000000000006</v>
      </c>
      <c r="N58" s="363">
        <f t="shared" si="37"/>
        <v>658.56000000000006</v>
      </c>
      <c r="O58" s="363">
        <f t="shared" si="37"/>
        <v>705.59999999999991</v>
      </c>
      <c r="P58" s="363">
        <f t="shared" si="37"/>
        <v>752.64</v>
      </c>
      <c r="R58" s="27">
        <f>+B58+J58</f>
        <v>819.56000000000006</v>
      </c>
      <c r="S58" s="27">
        <f t="shared" si="31"/>
        <v>819.56000000000006</v>
      </c>
      <c r="T58" s="27">
        <f t="shared" si="32"/>
        <v>819.56000000000006</v>
      </c>
      <c r="U58" s="27">
        <f t="shared" si="33"/>
        <v>819.56000000000006</v>
      </c>
      <c r="V58" s="27">
        <f t="shared" si="34"/>
        <v>819.56000000000006</v>
      </c>
      <c r="W58" s="27">
        <f t="shared" si="35"/>
        <v>878.59999999999991</v>
      </c>
      <c r="X58" s="27">
        <f t="shared" si="36"/>
        <v>936.64</v>
      </c>
    </row>
    <row r="59" spans="1:24">
      <c r="A59" s="578" t="str">
        <f>+'Input Sheet'!B49</f>
        <v>Waste</v>
      </c>
      <c r="B59" s="331">
        <f t="shared" si="29"/>
        <v>20</v>
      </c>
      <c r="C59" s="331">
        <f t="shared" si="29"/>
        <v>20</v>
      </c>
      <c r="D59" s="387">
        <f t="shared" si="29"/>
        <v>20</v>
      </c>
      <c r="E59" s="387">
        <f t="shared" si="29"/>
        <v>20</v>
      </c>
      <c r="F59" s="387">
        <f t="shared" si="29"/>
        <v>20</v>
      </c>
      <c r="G59" s="387">
        <f t="shared" si="29"/>
        <v>22</v>
      </c>
      <c r="H59" s="387">
        <f t="shared" si="29"/>
        <v>23</v>
      </c>
      <c r="I59" s="575">
        <f>+'Input Sheet'!C49</f>
        <v>0.05</v>
      </c>
      <c r="J59" s="363">
        <f>+J44</f>
        <v>94.080000000000013</v>
      </c>
      <c r="K59" s="363">
        <f t="shared" ref="K59:P59" si="38">+K44</f>
        <v>94.080000000000013</v>
      </c>
      <c r="L59" s="363">
        <f t="shared" si="38"/>
        <v>94.080000000000013</v>
      </c>
      <c r="M59" s="363">
        <f t="shared" si="38"/>
        <v>94.080000000000013</v>
      </c>
      <c r="N59" s="363">
        <f t="shared" si="38"/>
        <v>94.080000000000013</v>
      </c>
      <c r="O59" s="363">
        <f t="shared" si="38"/>
        <v>100.80000000000001</v>
      </c>
      <c r="P59" s="363">
        <f t="shared" si="38"/>
        <v>107.52000000000001</v>
      </c>
      <c r="R59" s="27">
        <f>+B59+J59</f>
        <v>114.08000000000001</v>
      </c>
      <c r="S59" s="27">
        <f t="shared" si="31"/>
        <v>114.08000000000001</v>
      </c>
      <c r="T59" s="27">
        <f t="shared" si="32"/>
        <v>114.08000000000001</v>
      </c>
      <c r="U59" s="27">
        <f t="shared" si="33"/>
        <v>114.08000000000001</v>
      </c>
      <c r="V59" s="27">
        <f t="shared" si="34"/>
        <v>114.08000000000001</v>
      </c>
      <c r="W59" s="27">
        <f t="shared" si="35"/>
        <v>122.80000000000001</v>
      </c>
      <c r="X59" s="27">
        <f t="shared" si="36"/>
        <v>130.52000000000001</v>
      </c>
    </row>
    <row r="60" spans="1:24">
      <c r="A60" s="314"/>
      <c r="B60" s="314"/>
      <c r="C60" s="314"/>
      <c r="D60" s="342"/>
      <c r="E60" s="342"/>
      <c r="F60" s="342"/>
      <c r="G60" s="342"/>
      <c r="H60" s="342"/>
      <c r="I60" s="415"/>
    </row>
    <row r="61" spans="1:24" hidden="1">
      <c r="A61" s="577" t="str">
        <f>+'Input Sheet'!B51</f>
        <v>Captive Operations Grade Output -Chilli(MT)</v>
      </c>
      <c r="B61" s="314"/>
      <c r="C61" s="314"/>
      <c r="D61" s="342"/>
      <c r="E61" s="342"/>
      <c r="F61" s="342"/>
      <c r="G61" s="342"/>
      <c r="H61" s="342"/>
      <c r="I61" s="415"/>
    </row>
    <row r="62" spans="1:24" hidden="1">
      <c r="A62" s="578" t="str">
        <f>+'Input Sheet'!B52</f>
        <v>Green Chilli</v>
      </c>
      <c r="B62" s="331">
        <f t="shared" ref="B62:H64" si="39">+ROUND(B$36*$I62,0)</f>
        <v>0</v>
      </c>
      <c r="C62" s="331">
        <f t="shared" si="39"/>
        <v>0</v>
      </c>
      <c r="D62" s="387">
        <f t="shared" si="39"/>
        <v>0</v>
      </c>
      <c r="E62" s="387">
        <f t="shared" si="39"/>
        <v>0</v>
      </c>
      <c r="F62" s="387">
        <f t="shared" si="39"/>
        <v>0</v>
      </c>
      <c r="G62" s="387">
        <f t="shared" si="39"/>
        <v>0</v>
      </c>
      <c r="H62" s="387">
        <f t="shared" si="39"/>
        <v>0</v>
      </c>
      <c r="I62" s="575">
        <f>+'Input Sheet'!C52</f>
        <v>0</v>
      </c>
    </row>
    <row r="63" spans="1:24" hidden="1">
      <c r="A63" s="578" t="str">
        <f>+'Input Sheet'!B53</f>
        <v>Red Chilli</v>
      </c>
      <c r="B63" s="331">
        <f t="shared" si="39"/>
        <v>0</v>
      </c>
      <c r="C63" s="331">
        <f t="shared" si="39"/>
        <v>0</v>
      </c>
      <c r="D63" s="387">
        <f t="shared" si="39"/>
        <v>0</v>
      </c>
      <c r="E63" s="387">
        <f t="shared" si="39"/>
        <v>0</v>
      </c>
      <c r="F63" s="387">
        <f t="shared" si="39"/>
        <v>0</v>
      </c>
      <c r="G63" s="387">
        <f t="shared" si="39"/>
        <v>0</v>
      </c>
      <c r="H63" s="387">
        <f t="shared" si="39"/>
        <v>0</v>
      </c>
      <c r="I63" s="575">
        <f>+'Input Sheet'!C53</f>
        <v>0</v>
      </c>
    </row>
    <row r="64" spans="1:24" hidden="1">
      <c r="A64" s="578" t="str">
        <f>+'Input Sheet'!B54</f>
        <v>Waste</v>
      </c>
      <c r="B64" s="331">
        <f t="shared" si="39"/>
        <v>0</v>
      </c>
      <c r="C64" s="331">
        <f t="shared" si="39"/>
        <v>0</v>
      </c>
      <c r="D64" s="387">
        <f t="shared" si="39"/>
        <v>0</v>
      </c>
      <c r="E64" s="387">
        <f t="shared" si="39"/>
        <v>0</v>
      </c>
      <c r="F64" s="387">
        <f t="shared" si="39"/>
        <v>0</v>
      </c>
      <c r="G64" s="387">
        <f t="shared" si="39"/>
        <v>0</v>
      </c>
      <c r="H64" s="387">
        <f t="shared" si="39"/>
        <v>0</v>
      </c>
      <c r="I64" s="575">
        <f>+'Input Sheet'!C54</f>
        <v>0</v>
      </c>
    </row>
    <row r="65" spans="1:10" hidden="1">
      <c r="A65" s="314"/>
      <c r="B65" s="314"/>
      <c r="C65" s="314"/>
      <c r="D65" s="342"/>
      <c r="E65" s="342"/>
      <c r="F65" s="342"/>
      <c r="G65" s="342"/>
      <c r="H65" s="342"/>
      <c r="I65" s="415"/>
    </row>
    <row r="66" spans="1:10">
      <c r="A66" s="314"/>
      <c r="B66" s="314"/>
      <c r="C66" s="314"/>
      <c r="D66" s="342"/>
      <c r="E66" s="342"/>
      <c r="F66" s="342"/>
      <c r="G66" s="342"/>
      <c r="H66" s="342"/>
      <c r="I66" s="415"/>
    </row>
    <row r="67" spans="1:10">
      <c r="A67" s="314"/>
      <c r="B67" s="314"/>
      <c r="C67" s="314"/>
      <c r="D67" s="342"/>
      <c r="E67" s="342"/>
      <c r="F67" s="342"/>
      <c r="G67" s="342"/>
      <c r="H67" s="342"/>
      <c r="I67" s="415"/>
    </row>
    <row r="68" spans="1:10">
      <c r="A68" s="314" t="s">
        <v>896</v>
      </c>
      <c r="B68" s="314">
        <f>4*8</f>
        <v>32</v>
      </c>
      <c r="C68" s="314">
        <f t="shared" ref="C68:H68" si="40">4*8</f>
        <v>32</v>
      </c>
      <c r="D68" s="314">
        <f t="shared" si="40"/>
        <v>32</v>
      </c>
      <c r="E68" s="314">
        <f t="shared" si="40"/>
        <v>32</v>
      </c>
      <c r="F68" s="314">
        <f t="shared" si="40"/>
        <v>32</v>
      </c>
      <c r="G68" s="314">
        <f t="shared" si="40"/>
        <v>32</v>
      </c>
      <c r="H68" s="314">
        <f t="shared" si="40"/>
        <v>32</v>
      </c>
      <c r="I68" s="415"/>
    </row>
    <row r="69" spans="1:10">
      <c r="A69" s="330" t="s">
        <v>633</v>
      </c>
      <c r="B69" s="327">
        <f t="shared" ref="B69:H69" si="41">ROUND(B22/B68,0)</f>
        <v>147</v>
      </c>
      <c r="C69" s="327">
        <f t="shared" si="41"/>
        <v>147</v>
      </c>
      <c r="D69" s="327">
        <f t="shared" si="41"/>
        <v>147</v>
      </c>
      <c r="E69" s="327">
        <f t="shared" si="41"/>
        <v>147</v>
      </c>
      <c r="F69" s="327">
        <f t="shared" si="41"/>
        <v>147</v>
      </c>
      <c r="G69" s="327">
        <f t="shared" si="41"/>
        <v>158</v>
      </c>
      <c r="H69" s="327">
        <f t="shared" si="41"/>
        <v>168</v>
      </c>
      <c r="I69" s="415"/>
    </row>
    <row r="70" spans="1:10" ht="30">
      <c r="A70" s="393" t="s">
        <v>916</v>
      </c>
      <c r="B70" s="327">
        <f t="shared" ref="B70:H70" si="42">ROUND((SUM(B32:B36))/B68,0)</f>
        <v>63</v>
      </c>
      <c r="C70" s="327">
        <f t="shared" si="42"/>
        <v>63</v>
      </c>
      <c r="D70" s="327">
        <f t="shared" si="42"/>
        <v>63</v>
      </c>
      <c r="E70" s="327">
        <f t="shared" si="42"/>
        <v>63</v>
      </c>
      <c r="F70" s="327">
        <f t="shared" si="42"/>
        <v>63</v>
      </c>
      <c r="G70" s="327">
        <f t="shared" si="42"/>
        <v>68</v>
      </c>
      <c r="H70" s="327">
        <f t="shared" si="42"/>
        <v>72</v>
      </c>
      <c r="I70" s="415"/>
    </row>
    <row r="71" spans="1:10">
      <c r="A71" s="315" t="s">
        <v>648</v>
      </c>
      <c r="B71" s="315">
        <f>+B69+B70</f>
        <v>210</v>
      </c>
      <c r="C71" s="315">
        <f t="shared" ref="C71:H71" si="43">+C69+C70</f>
        <v>210</v>
      </c>
      <c r="D71" s="315">
        <f t="shared" si="43"/>
        <v>210</v>
      </c>
      <c r="E71" s="315">
        <f t="shared" si="43"/>
        <v>210</v>
      </c>
      <c r="F71" s="315">
        <f t="shared" si="43"/>
        <v>210</v>
      </c>
      <c r="G71" s="315">
        <f t="shared" si="43"/>
        <v>226</v>
      </c>
      <c r="H71" s="315">
        <f t="shared" si="43"/>
        <v>240</v>
      </c>
      <c r="I71" s="419"/>
    </row>
    <row r="72" spans="1:10">
      <c r="A72" s="79"/>
      <c r="B72" s="79"/>
      <c r="C72" s="79"/>
      <c r="D72" s="94"/>
      <c r="E72" s="94"/>
      <c r="F72" s="94"/>
      <c r="G72" s="94"/>
      <c r="H72" s="94"/>
    </row>
    <row r="73" spans="1:10">
      <c r="A73" s="79"/>
      <c r="B73" s="79"/>
      <c r="C73" s="79"/>
      <c r="D73" s="94"/>
      <c r="E73" s="94"/>
      <c r="F73" s="94"/>
      <c r="G73" s="94"/>
      <c r="H73" s="94"/>
    </row>
    <row r="74" spans="1:10">
      <c r="A74" s="79"/>
      <c r="B74" s="79"/>
      <c r="C74" s="79"/>
      <c r="D74" s="94"/>
      <c r="E74" s="94"/>
      <c r="F74" s="94"/>
      <c r="G74" s="94"/>
      <c r="H74" s="94"/>
    </row>
    <row r="75" spans="1:10">
      <c r="B75" s="27"/>
      <c r="C75" s="27"/>
    </row>
    <row r="76" spans="1:10" ht="18.75">
      <c r="A76" s="676" t="s">
        <v>938</v>
      </c>
      <c r="B76" s="676"/>
      <c r="C76" s="676"/>
      <c r="D76" s="676"/>
      <c r="E76" s="676"/>
      <c r="F76" s="676"/>
      <c r="G76" s="676"/>
      <c r="H76" s="676"/>
      <c r="I76" s="676"/>
      <c r="J76" s="676"/>
    </row>
    <row r="77" spans="1:10">
      <c r="A77" s="271"/>
      <c r="B77" s="271"/>
      <c r="C77" s="271"/>
      <c r="D77" s="420"/>
      <c r="E77" s="420"/>
      <c r="F77" s="420"/>
      <c r="G77" s="420"/>
      <c r="H77" s="420"/>
    </row>
    <row r="78" spans="1:10">
      <c r="A78" s="274"/>
      <c r="B78" s="274"/>
      <c r="C78" s="274"/>
      <c r="D78" s="421">
        <v>1</v>
      </c>
      <c r="E78" s="421">
        <f t="shared" ref="E78:J78" si="44">(D78*5%)+D78</f>
        <v>1.05</v>
      </c>
      <c r="F78" s="421">
        <f t="shared" si="44"/>
        <v>1.1025</v>
      </c>
      <c r="G78" s="421">
        <f t="shared" si="44"/>
        <v>1.1576250000000001</v>
      </c>
      <c r="H78" s="421">
        <f t="shared" si="44"/>
        <v>1.2155062500000002</v>
      </c>
      <c r="I78" s="421">
        <f t="shared" si="44"/>
        <v>1.2762815625000004</v>
      </c>
      <c r="J78" s="421">
        <f t="shared" si="44"/>
        <v>1.3400956406250004</v>
      </c>
    </row>
    <row r="79" spans="1:10">
      <c r="A79" s="79"/>
      <c r="B79" s="79"/>
      <c r="C79" s="79"/>
      <c r="D79" s="94"/>
      <c r="E79" s="94"/>
      <c r="F79" s="94"/>
      <c r="G79" s="94"/>
      <c r="H79" s="94"/>
      <c r="I79" s="94"/>
      <c r="J79" s="94"/>
    </row>
    <row r="80" spans="1:10">
      <c r="A80" s="122" t="s">
        <v>0</v>
      </c>
      <c r="B80" s="122" t="s">
        <v>128</v>
      </c>
      <c r="C80" s="122" t="s">
        <v>148</v>
      </c>
      <c r="D80" s="395" t="s">
        <v>2</v>
      </c>
      <c r="E80" s="395" t="s">
        <v>3</v>
      </c>
      <c r="F80" s="395" t="s">
        <v>4</v>
      </c>
      <c r="G80" s="395" t="s">
        <v>5</v>
      </c>
      <c r="H80" s="395" t="s">
        <v>6</v>
      </c>
      <c r="I80" s="395" t="s">
        <v>163</v>
      </c>
      <c r="J80" s="395" t="s">
        <v>162</v>
      </c>
    </row>
    <row r="81" spans="1:11">
      <c r="A81" s="80"/>
      <c r="B81" s="80"/>
      <c r="C81" s="80"/>
      <c r="D81" s="361"/>
      <c r="E81" s="361"/>
      <c r="F81" s="361"/>
      <c r="G81" s="361"/>
      <c r="H81" s="361"/>
      <c r="I81" s="361"/>
      <c r="J81" s="361"/>
    </row>
    <row r="82" spans="1:11">
      <c r="A82" s="82" t="s">
        <v>124</v>
      </c>
      <c r="B82" s="82"/>
      <c r="C82" s="82"/>
      <c r="D82" s="422"/>
      <c r="E82" s="422"/>
      <c r="F82" s="422"/>
      <c r="G82" s="422"/>
      <c r="H82" s="422"/>
      <c r="I82" s="361"/>
      <c r="J82" s="361"/>
    </row>
    <row r="83" spans="1:11" s="363" customFormat="1">
      <c r="A83" s="361" t="s">
        <v>283</v>
      </c>
      <c r="B83" s="362" t="s">
        <v>288</v>
      </c>
      <c r="C83" s="359">
        <f>+B23</f>
        <v>800</v>
      </c>
      <c r="D83" s="534">
        <f t="shared" ref="D83:J83" si="45">B22*$C83*D$78/100000</f>
        <v>37.631999999999998</v>
      </c>
      <c r="E83" s="534">
        <f t="shared" si="45"/>
        <v>39.513599999999997</v>
      </c>
      <c r="F83" s="534">
        <f t="shared" si="45"/>
        <v>41.489280000000001</v>
      </c>
      <c r="G83" s="534">
        <f t="shared" si="45"/>
        <v>43.563744000000007</v>
      </c>
      <c r="H83" s="534">
        <f t="shared" si="45"/>
        <v>45.74193120000001</v>
      </c>
      <c r="I83" s="534">
        <f t="shared" si="45"/>
        <v>51.459672600000019</v>
      </c>
      <c r="J83" s="534">
        <f t="shared" si="45"/>
        <v>57.634833312000019</v>
      </c>
      <c r="K83" s="535"/>
    </row>
    <row r="84" spans="1:11" s="363" customFormat="1">
      <c r="A84" s="361" t="s">
        <v>920</v>
      </c>
      <c r="B84" s="362"/>
      <c r="C84" s="359"/>
      <c r="D84" s="534">
        <f>+C492</f>
        <v>6.3000000000000007</v>
      </c>
      <c r="E84" s="534">
        <f t="shared" ref="E84:J84" si="46">+D492</f>
        <v>7.3919999999999995</v>
      </c>
      <c r="F84" s="534">
        <f t="shared" si="46"/>
        <v>8.5679999999999996</v>
      </c>
      <c r="G84" s="534">
        <f t="shared" si="46"/>
        <v>9.8279999999999994</v>
      </c>
      <c r="H84" s="534">
        <f t="shared" si="46"/>
        <v>11.172000000000001</v>
      </c>
      <c r="I84" s="534">
        <f t="shared" si="46"/>
        <v>13.559999999999999</v>
      </c>
      <c r="J84" s="534">
        <f t="shared" si="46"/>
        <v>16.128</v>
      </c>
      <c r="K84" s="535"/>
    </row>
    <row r="85" spans="1:11">
      <c r="A85" s="80" t="s">
        <v>678</v>
      </c>
      <c r="B85" s="192" t="s">
        <v>680</v>
      </c>
      <c r="C85" s="192" t="s">
        <v>679</v>
      </c>
      <c r="D85" s="534">
        <f t="shared" ref="D85:J85" si="47">+C194</f>
        <v>1119.6986666666664</v>
      </c>
      <c r="E85" s="534">
        <f t="shared" si="47"/>
        <v>1186.4256166666667</v>
      </c>
      <c r="F85" s="534">
        <f t="shared" si="47"/>
        <v>1246.5742750000002</v>
      </c>
      <c r="G85" s="534">
        <f t="shared" si="47"/>
        <v>1308.9138833333334</v>
      </c>
      <c r="H85" s="534">
        <f t="shared" si="47"/>
        <v>1374.3380499999998</v>
      </c>
      <c r="I85" s="534">
        <f t="shared" si="47"/>
        <v>1544.8570583333335</v>
      </c>
      <c r="J85" s="534">
        <f t="shared" si="47"/>
        <v>1731.6655916666664</v>
      </c>
      <c r="K85" s="13"/>
    </row>
    <row r="86" spans="1:11" hidden="1">
      <c r="A86" s="80" t="s">
        <v>851</v>
      </c>
      <c r="B86" s="192" t="s">
        <v>681</v>
      </c>
      <c r="C86" s="192">
        <v>10</v>
      </c>
      <c r="D86" s="534">
        <v>0</v>
      </c>
      <c r="E86" s="534">
        <v>0</v>
      </c>
      <c r="F86" s="534">
        <v>0</v>
      </c>
      <c r="G86" s="534">
        <v>0</v>
      </c>
      <c r="H86" s="534">
        <v>0</v>
      </c>
      <c r="I86" s="534">
        <v>0</v>
      </c>
      <c r="J86" s="534">
        <v>0</v>
      </c>
      <c r="K86" s="13"/>
    </row>
    <row r="87" spans="1:11" hidden="1">
      <c r="A87" s="80" t="s">
        <v>846</v>
      </c>
      <c r="B87" s="192" t="s">
        <v>679</v>
      </c>
      <c r="C87" s="192" t="s">
        <v>679</v>
      </c>
      <c r="D87" s="534">
        <f>+C492</f>
        <v>6.3000000000000007</v>
      </c>
      <c r="E87" s="534">
        <f t="shared" ref="E87:J87" si="48">+D492</f>
        <v>7.3919999999999995</v>
      </c>
      <c r="F87" s="534">
        <f t="shared" si="48"/>
        <v>8.5679999999999996</v>
      </c>
      <c r="G87" s="534">
        <f t="shared" si="48"/>
        <v>9.8279999999999994</v>
      </c>
      <c r="H87" s="534">
        <f t="shared" si="48"/>
        <v>11.172000000000001</v>
      </c>
      <c r="I87" s="534">
        <f t="shared" si="48"/>
        <v>13.559999999999999</v>
      </c>
      <c r="J87" s="534">
        <f t="shared" si="48"/>
        <v>16.128</v>
      </c>
      <c r="K87" s="13"/>
    </row>
    <row r="88" spans="1:11">
      <c r="A88" s="80"/>
      <c r="B88" s="80"/>
      <c r="C88" s="80"/>
      <c r="D88" s="534"/>
      <c r="E88" s="534"/>
      <c r="F88" s="534"/>
      <c r="G88" s="534"/>
      <c r="H88" s="534"/>
      <c r="I88" s="534"/>
      <c r="J88" s="534"/>
      <c r="K88" s="13"/>
    </row>
    <row r="89" spans="1:11">
      <c r="A89" s="82" t="s">
        <v>124</v>
      </c>
      <c r="B89" s="82"/>
      <c r="C89" s="82"/>
      <c r="D89" s="536">
        <f t="shared" ref="D89:J89" si="49">SUM(D83:D87)</f>
        <v>1169.9306666666664</v>
      </c>
      <c r="E89" s="536">
        <f t="shared" si="49"/>
        <v>1240.7232166666668</v>
      </c>
      <c r="F89" s="536">
        <f t="shared" si="49"/>
        <v>1305.1995550000001</v>
      </c>
      <c r="G89" s="536">
        <f t="shared" si="49"/>
        <v>1372.1336273333334</v>
      </c>
      <c r="H89" s="536">
        <f t="shared" si="49"/>
        <v>1442.4239811999998</v>
      </c>
      <c r="I89" s="536">
        <f t="shared" si="49"/>
        <v>1623.4367309333334</v>
      </c>
      <c r="J89" s="536">
        <f t="shared" si="49"/>
        <v>1821.5564249786664</v>
      </c>
      <c r="K89" s="13"/>
    </row>
    <row r="90" spans="1:11">
      <c r="A90" s="80"/>
      <c r="B90" s="80"/>
      <c r="C90" s="80"/>
      <c r="D90" s="534"/>
      <c r="E90" s="534"/>
      <c r="F90" s="534"/>
      <c r="G90" s="534"/>
      <c r="H90" s="534"/>
      <c r="I90" s="534"/>
      <c r="J90" s="534"/>
      <c r="K90" s="13"/>
    </row>
    <row r="91" spans="1:11">
      <c r="A91" s="157" t="s">
        <v>743</v>
      </c>
      <c r="B91" s="80"/>
      <c r="C91" s="80" t="s">
        <v>745</v>
      </c>
      <c r="D91" s="534">
        <f t="shared" ref="D91:J92" si="50">+C350</f>
        <v>0</v>
      </c>
      <c r="E91" s="534">
        <f t="shared" si="50"/>
        <v>48.662333333333329</v>
      </c>
      <c r="F91" s="534">
        <f t="shared" si="50"/>
        <v>91.511866666666677</v>
      </c>
      <c r="G91" s="534">
        <f t="shared" si="50"/>
        <v>137.682975</v>
      </c>
      <c r="H91" s="534">
        <f t="shared" si="50"/>
        <v>188.24396666666667</v>
      </c>
      <c r="I91" s="534">
        <f t="shared" si="50"/>
        <v>243.51015000000001</v>
      </c>
      <c r="J91" s="534">
        <f t="shared" si="50"/>
        <v>307.98156666666671</v>
      </c>
      <c r="K91" s="13"/>
    </row>
    <row r="92" spans="1:11">
      <c r="A92" s="157" t="s">
        <v>744</v>
      </c>
      <c r="B92" s="80"/>
      <c r="C92" s="80" t="s">
        <v>745</v>
      </c>
      <c r="D92" s="534">
        <f t="shared" si="50"/>
        <v>48.662333333333329</v>
      </c>
      <c r="E92" s="534">
        <f t="shared" si="50"/>
        <v>91.511866666666677</v>
      </c>
      <c r="F92" s="534">
        <f t="shared" si="50"/>
        <v>137.682975</v>
      </c>
      <c r="G92" s="534">
        <f t="shared" si="50"/>
        <v>188.24396666666667</v>
      </c>
      <c r="H92" s="534">
        <f t="shared" si="50"/>
        <v>243.51015000000001</v>
      </c>
      <c r="I92" s="534">
        <f t="shared" si="50"/>
        <v>307.98156666666671</v>
      </c>
      <c r="J92" s="534">
        <f t="shared" si="50"/>
        <v>382.20636666666667</v>
      </c>
      <c r="K92" s="13"/>
    </row>
    <row r="93" spans="1:11">
      <c r="A93" s="80"/>
      <c r="B93" s="80"/>
      <c r="C93" s="80"/>
      <c r="D93" s="534"/>
      <c r="E93" s="534"/>
      <c r="F93" s="534"/>
      <c r="G93" s="534"/>
      <c r="H93" s="534"/>
      <c r="I93" s="534"/>
      <c r="J93" s="534"/>
      <c r="K93" s="13"/>
    </row>
    <row r="94" spans="1:11">
      <c r="A94" s="80"/>
      <c r="B94" s="80"/>
      <c r="C94" s="80"/>
      <c r="D94" s="534"/>
      <c r="E94" s="534"/>
      <c r="F94" s="534"/>
      <c r="G94" s="534"/>
      <c r="H94" s="534"/>
      <c r="I94" s="534"/>
      <c r="J94" s="534"/>
      <c r="K94" s="13"/>
    </row>
    <row r="95" spans="1:11">
      <c r="A95" s="82" t="s">
        <v>137</v>
      </c>
      <c r="B95" s="82"/>
      <c r="C95" s="82"/>
      <c r="D95" s="534"/>
      <c r="E95" s="534"/>
      <c r="F95" s="534"/>
      <c r="G95" s="534"/>
      <c r="H95" s="534"/>
      <c r="I95" s="534"/>
      <c r="J95" s="534"/>
      <c r="K95" s="13"/>
    </row>
    <row r="96" spans="1:11">
      <c r="A96" s="82" t="s">
        <v>301</v>
      </c>
      <c r="B96" s="82"/>
      <c r="C96" s="80"/>
      <c r="D96" s="534"/>
      <c r="E96" s="534"/>
      <c r="F96" s="534"/>
      <c r="G96" s="534"/>
      <c r="H96" s="534"/>
      <c r="I96" s="534"/>
      <c r="J96" s="534"/>
      <c r="K96" s="13"/>
    </row>
    <row r="97" spans="1:12">
      <c r="A97" s="80" t="s">
        <v>741</v>
      </c>
      <c r="B97" s="80" t="s">
        <v>288</v>
      </c>
      <c r="C97" s="80" t="s">
        <v>742</v>
      </c>
      <c r="D97" s="624">
        <f t="shared" ref="D97:J97" si="51">+B407</f>
        <v>1117.6400000000001</v>
      </c>
      <c r="E97" s="624">
        <f t="shared" si="51"/>
        <v>1155.24</v>
      </c>
      <c r="F97" s="624">
        <f t="shared" si="51"/>
        <v>1212.99</v>
      </c>
      <c r="G97" s="624">
        <f t="shared" si="51"/>
        <v>1273.71</v>
      </c>
      <c r="H97" s="624">
        <f t="shared" si="51"/>
        <v>1337.44</v>
      </c>
      <c r="I97" s="624">
        <f t="shared" si="51"/>
        <v>1505.44</v>
      </c>
      <c r="J97" s="624">
        <f t="shared" si="51"/>
        <v>1686.75</v>
      </c>
      <c r="K97" s="13"/>
    </row>
    <row r="98" spans="1:12">
      <c r="A98" s="80" t="s">
        <v>307</v>
      </c>
      <c r="B98" s="80" t="s">
        <v>771</v>
      </c>
      <c r="C98" s="80" t="s">
        <v>772</v>
      </c>
      <c r="D98" s="624">
        <f>+B71*300*'Input Sheet'!C197/100000</f>
        <v>6.3</v>
      </c>
      <c r="E98" s="624">
        <f>+C71*300*'Input Sheet'!D197/100000</f>
        <v>6.93</v>
      </c>
      <c r="F98" s="624">
        <f>+D71*300*'Input Sheet'!E197/100000</f>
        <v>7.56</v>
      </c>
      <c r="G98" s="624">
        <f>+E71*300*'Input Sheet'!F197/100000</f>
        <v>8.19</v>
      </c>
      <c r="H98" s="624">
        <f>+F71*300*'Input Sheet'!G197/100000</f>
        <v>8.82</v>
      </c>
      <c r="I98" s="624">
        <f>+G71*300*'Input Sheet'!H197/100000</f>
        <v>10.17</v>
      </c>
      <c r="J98" s="624">
        <f>+H71*300*'Input Sheet'!I197/100000</f>
        <v>12.24</v>
      </c>
      <c r="K98" s="13"/>
    </row>
    <row r="99" spans="1:12">
      <c r="A99" s="80" t="s">
        <v>911</v>
      </c>
      <c r="B99" s="80" t="s">
        <v>288</v>
      </c>
      <c r="C99" s="80">
        <v>1500</v>
      </c>
      <c r="D99" s="624">
        <f t="shared" ref="D99:J99" si="52">+(B57+B47+B42)*1500/100000</f>
        <v>17.850000000000001</v>
      </c>
      <c r="E99" s="624">
        <f t="shared" si="52"/>
        <v>17.850000000000001</v>
      </c>
      <c r="F99" s="624">
        <f t="shared" si="52"/>
        <v>17.850000000000001</v>
      </c>
      <c r="G99" s="624">
        <f t="shared" si="52"/>
        <v>17.850000000000001</v>
      </c>
      <c r="H99" s="624">
        <f t="shared" si="52"/>
        <v>17.850000000000001</v>
      </c>
      <c r="I99" s="624">
        <f t="shared" si="52"/>
        <v>19.11</v>
      </c>
      <c r="J99" s="624">
        <f t="shared" si="52"/>
        <v>20.399999999999999</v>
      </c>
      <c r="K99" s="13"/>
    </row>
    <row r="100" spans="1:12">
      <c r="A100" s="80" t="s">
        <v>139</v>
      </c>
      <c r="B100" s="80" t="s">
        <v>784</v>
      </c>
      <c r="C100" s="80" t="s">
        <v>934</v>
      </c>
      <c r="D100" s="624">
        <f>+B71*'Input Sheet'!$B$213/100000</f>
        <v>4.0320000000000009</v>
      </c>
      <c r="E100" s="624">
        <f>+C71*'Input Sheet'!$B$213/100000</f>
        <v>4.0320000000000009</v>
      </c>
      <c r="F100" s="624">
        <f>+D71*'Input Sheet'!$B$213/100000</f>
        <v>4.0320000000000009</v>
      </c>
      <c r="G100" s="624">
        <f>+E71*'Input Sheet'!$B$213/100000</f>
        <v>4.0320000000000009</v>
      </c>
      <c r="H100" s="624">
        <f>+F71*'Input Sheet'!$B$213/100000</f>
        <v>4.0320000000000009</v>
      </c>
      <c r="I100" s="624">
        <f>+G71*'Input Sheet'!$B$213/100000</f>
        <v>4.3392000000000008</v>
      </c>
      <c r="J100" s="624">
        <f>+H71*'Input Sheet'!$B$213/100000</f>
        <v>4.6080000000000005</v>
      </c>
      <c r="K100" s="13"/>
    </row>
    <row r="101" spans="1:12">
      <c r="A101" s="80" t="s">
        <v>776</v>
      </c>
      <c r="B101" s="80" t="s">
        <v>784</v>
      </c>
      <c r="C101" s="80">
        <v>500</v>
      </c>
      <c r="D101" s="624">
        <f t="shared" ref="D101:J101" si="53">+$C$101*B71/100000</f>
        <v>1.05</v>
      </c>
      <c r="E101" s="624">
        <f t="shared" si="53"/>
        <v>1.05</v>
      </c>
      <c r="F101" s="624">
        <f t="shared" si="53"/>
        <v>1.05</v>
      </c>
      <c r="G101" s="624">
        <f t="shared" si="53"/>
        <v>1.05</v>
      </c>
      <c r="H101" s="624">
        <f t="shared" si="53"/>
        <v>1.05</v>
      </c>
      <c r="I101" s="624">
        <f t="shared" si="53"/>
        <v>1.1299999999999999</v>
      </c>
      <c r="J101" s="624">
        <f t="shared" si="53"/>
        <v>1.2</v>
      </c>
      <c r="K101" s="371">
        <v>0</v>
      </c>
      <c r="L101" s="366">
        <v>0</v>
      </c>
    </row>
    <row r="102" spans="1:12">
      <c r="A102" s="80" t="s">
        <v>777</v>
      </c>
      <c r="B102" s="80" t="s">
        <v>782</v>
      </c>
      <c r="C102" s="80">
        <v>800</v>
      </c>
      <c r="D102" s="624">
        <f>+$C$102*'Input Sheet'!C197/100000</f>
        <v>0.08</v>
      </c>
      <c r="E102" s="624">
        <f>+$C$102*'Input Sheet'!D197/100000</f>
        <v>8.7999999999999995E-2</v>
      </c>
      <c r="F102" s="624">
        <f>+$C$102*'Input Sheet'!E197/100000</f>
        <v>9.6000000000000002E-2</v>
      </c>
      <c r="G102" s="624">
        <f>+$C$102*'Input Sheet'!F197/100000</f>
        <v>0.104</v>
      </c>
      <c r="H102" s="624">
        <f>+$C$102*'Input Sheet'!G197/100000</f>
        <v>0.112</v>
      </c>
      <c r="I102" s="624">
        <f>+$C$102*'Input Sheet'!H197/100000</f>
        <v>0.12</v>
      </c>
      <c r="J102" s="624">
        <f>+$C$102*'Input Sheet'!I197/100000</f>
        <v>0.13600000000000001</v>
      </c>
      <c r="K102" s="371">
        <v>0</v>
      </c>
      <c r="L102" s="366">
        <v>0</v>
      </c>
    </row>
    <row r="103" spans="1:12">
      <c r="A103" s="80" t="s">
        <v>778</v>
      </c>
      <c r="B103" s="80" t="s">
        <v>783</v>
      </c>
      <c r="C103" s="80">
        <v>500</v>
      </c>
      <c r="D103" s="624">
        <f t="shared" ref="D103:J103" si="54">+$C$103*B37/100000</f>
        <v>10.074999999999999</v>
      </c>
      <c r="E103" s="624">
        <f t="shared" si="54"/>
        <v>10.074999999999999</v>
      </c>
      <c r="F103" s="624">
        <f t="shared" si="54"/>
        <v>10.074999999999999</v>
      </c>
      <c r="G103" s="624">
        <f t="shared" si="54"/>
        <v>10.074999999999999</v>
      </c>
      <c r="H103" s="624">
        <f t="shared" si="54"/>
        <v>10.074999999999999</v>
      </c>
      <c r="I103" s="624">
        <f t="shared" si="54"/>
        <v>10.8</v>
      </c>
      <c r="J103" s="624">
        <f t="shared" si="54"/>
        <v>11.525</v>
      </c>
      <c r="K103" s="371">
        <v>0</v>
      </c>
      <c r="L103" s="366">
        <v>0</v>
      </c>
    </row>
    <row r="104" spans="1:12">
      <c r="A104" s="80" t="s">
        <v>779</v>
      </c>
      <c r="B104" s="80" t="s">
        <v>784</v>
      </c>
      <c r="C104" s="80">
        <v>300</v>
      </c>
      <c r="D104" s="624">
        <f t="shared" ref="D104:J104" si="55">+$C$104*B71/100000</f>
        <v>0.63</v>
      </c>
      <c r="E104" s="624">
        <f t="shared" si="55"/>
        <v>0.63</v>
      </c>
      <c r="F104" s="624">
        <f t="shared" si="55"/>
        <v>0.63</v>
      </c>
      <c r="G104" s="624">
        <f t="shared" si="55"/>
        <v>0.63</v>
      </c>
      <c r="H104" s="624">
        <f t="shared" si="55"/>
        <v>0.63</v>
      </c>
      <c r="I104" s="624">
        <f t="shared" si="55"/>
        <v>0.67800000000000005</v>
      </c>
      <c r="J104" s="624">
        <f t="shared" si="55"/>
        <v>0.72</v>
      </c>
      <c r="K104" s="371">
        <v>0</v>
      </c>
      <c r="L104" s="366">
        <v>0</v>
      </c>
    </row>
    <row r="105" spans="1:12">
      <c r="A105" s="80" t="s">
        <v>780</v>
      </c>
      <c r="B105" s="80" t="s">
        <v>783</v>
      </c>
      <c r="C105" s="80">
        <v>159</v>
      </c>
      <c r="D105" s="624">
        <f t="shared" ref="D105:J105" si="56">+$C$105*(+SUM(C134,C138,C142,C148,C153,C158,C170,C174,C180,C185,C189))/100000</f>
        <v>2.9179149999999998</v>
      </c>
      <c r="E105" s="624">
        <f t="shared" si="56"/>
        <v>2.9417650000000002</v>
      </c>
      <c r="F105" s="624">
        <f t="shared" si="56"/>
        <v>2.9433549999999999</v>
      </c>
      <c r="G105" s="624">
        <f t="shared" si="56"/>
        <v>2.9433549999999999</v>
      </c>
      <c r="H105" s="624">
        <f t="shared" si="56"/>
        <v>2.9433549999999999</v>
      </c>
      <c r="I105" s="624">
        <f t="shared" si="56"/>
        <v>3.1508500000000002</v>
      </c>
      <c r="J105" s="624">
        <f t="shared" si="56"/>
        <v>3.3644399999999992</v>
      </c>
      <c r="K105" s="371">
        <v>0</v>
      </c>
      <c r="L105" s="366">
        <v>0</v>
      </c>
    </row>
    <row r="106" spans="1:12">
      <c r="A106" s="80" t="s">
        <v>781</v>
      </c>
      <c r="B106" s="80" t="s">
        <v>784</v>
      </c>
      <c r="C106" s="80">
        <v>500</v>
      </c>
      <c r="D106" s="624">
        <f t="shared" ref="D106:J106" si="57">+$C$106*B71/100000</f>
        <v>1.05</v>
      </c>
      <c r="E106" s="624">
        <f t="shared" si="57"/>
        <v>1.05</v>
      </c>
      <c r="F106" s="624">
        <f t="shared" si="57"/>
        <v>1.05</v>
      </c>
      <c r="G106" s="624">
        <f t="shared" si="57"/>
        <v>1.05</v>
      </c>
      <c r="H106" s="624">
        <f t="shared" si="57"/>
        <v>1.05</v>
      </c>
      <c r="I106" s="624">
        <f t="shared" si="57"/>
        <v>1.1299999999999999</v>
      </c>
      <c r="J106" s="624">
        <f t="shared" si="57"/>
        <v>1.2</v>
      </c>
      <c r="K106" s="371">
        <v>0</v>
      </c>
      <c r="L106" s="366">
        <v>0</v>
      </c>
    </row>
    <row r="107" spans="1:12">
      <c r="A107" s="80"/>
      <c r="B107" s="80"/>
      <c r="C107" s="80"/>
      <c r="D107" s="624"/>
      <c r="E107" s="624"/>
      <c r="F107" s="624"/>
      <c r="G107" s="624"/>
      <c r="H107" s="624"/>
      <c r="I107" s="624"/>
      <c r="J107" s="624"/>
      <c r="K107" s="13"/>
    </row>
    <row r="108" spans="1:12">
      <c r="A108" s="80"/>
      <c r="B108" s="80"/>
      <c r="C108" s="80"/>
      <c r="D108" s="624"/>
      <c r="E108" s="624"/>
      <c r="F108" s="624"/>
      <c r="G108" s="624"/>
      <c r="H108" s="624"/>
      <c r="I108" s="624"/>
      <c r="J108" s="624"/>
      <c r="K108" s="13"/>
    </row>
    <row r="109" spans="1:12">
      <c r="A109" s="80" t="s">
        <v>726</v>
      </c>
      <c r="B109" s="80"/>
      <c r="C109" s="80"/>
      <c r="D109" s="624">
        <f t="shared" ref="D109:J110" si="58">+B475</f>
        <v>0</v>
      </c>
      <c r="E109" s="624">
        <f t="shared" si="58"/>
        <v>17.445</v>
      </c>
      <c r="F109" s="624">
        <f t="shared" si="58"/>
        <v>18.317900000000002</v>
      </c>
      <c r="G109" s="624">
        <f t="shared" si="58"/>
        <v>19.233599999999999</v>
      </c>
      <c r="H109" s="624">
        <f t="shared" si="58"/>
        <v>20.1966</v>
      </c>
      <c r="I109" s="624">
        <f t="shared" si="58"/>
        <v>21.206899999999997</v>
      </c>
      <c r="J109" s="624">
        <f t="shared" si="58"/>
        <v>22.2683</v>
      </c>
      <c r="K109" s="13"/>
    </row>
    <row r="110" spans="1:12">
      <c r="A110" s="80" t="s">
        <v>727</v>
      </c>
      <c r="B110" s="80"/>
      <c r="C110" s="80"/>
      <c r="D110" s="624">
        <f t="shared" si="58"/>
        <v>17.445</v>
      </c>
      <c r="E110" s="624">
        <f t="shared" si="58"/>
        <v>18.317900000000002</v>
      </c>
      <c r="F110" s="624">
        <f t="shared" si="58"/>
        <v>19.233599999999999</v>
      </c>
      <c r="G110" s="624">
        <f t="shared" si="58"/>
        <v>20.1966</v>
      </c>
      <c r="H110" s="624">
        <f t="shared" si="58"/>
        <v>21.206899999999997</v>
      </c>
      <c r="I110" s="624">
        <f t="shared" si="58"/>
        <v>22.2683</v>
      </c>
      <c r="J110" s="624">
        <f t="shared" si="58"/>
        <v>23.380800000000001</v>
      </c>
      <c r="K110" s="13"/>
    </row>
    <row r="111" spans="1:12">
      <c r="A111" s="81"/>
      <c r="B111" s="81"/>
      <c r="C111" s="81"/>
      <c r="D111" s="534"/>
      <c r="E111" s="534"/>
      <c r="F111" s="534"/>
      <c r="G111" s="534"/>
      <c r="H111" s="534"/>
      <c r="I111" s="534"/>
      <c r="J111" s="534"/>
      <c r="K111" s="13"/>
    </row>
    <row r="112" spans="1:12">
      <c r="A112" s="98" t="s">
        <v>308</v>
      </c>
      <c r="B112" s="81"/>
      <c r="C112" s="81"/>
      <c r="D112" s="536">
        <f t="shared" ref="D112:J112" si="59">SUM(D97:D109)-D110</f>
        <v>1144.1799149999999</v>
      </c>
      <c r="E112" s="536">
        <f t="shared" si="59"/>
        <v>1199.0138649999999</v>
      </c>
      <c r="F112" s="536">
        <f t="shared" si="59"/>
        <v>1257.360655</v>
      </c>
      <c r="G112" s="536">
        <f t="shared" si="59"/>
        <v>1318.6713550000002</v>
      </c>
      <c r="H112" s="536">
        <f t="shared" si="59"/>
        <v>1382.9920550000002</v>
      </c>
      <c r="I112" s="536">
        <f t="shared" si="59"/>
        <v>1555.00665</v>
      </c>
      <c r="J112" s="536">
        <f t="shared" si="59"/>
        <v>1741.0309400000003</v>
      </c>
      <c r="K112" s="13"/>
    </row>
    <row r="113" spans="1:14">
      <c r="A113" s="79"/>
      <c r="B113" s="79"/>
      <c r="C113" s="79"/>
      <c r="D113" s="537"/>
      <c r="E113" s="537"/>
      <c r="F113" s="537"/>
      <c r="G113" s="537"/>
      <c r="H113" s="537"/>
      <c r="I113" s="537"/>
      <c r="J113" s="537"/>
      <c r="K113" s="13"/>
    </row>
    <row r="114" spans="1:14">
      <c r="A114" s="158" t="s">
        <v>299</v>
      </c>
      <c r="B114" s="158"/>
      <c r="C114" s="158"/>
      <c r="D114" s="536"/>
      <c r="E114" s="536"/>
      <c r="F114" s="536"/>
      <c r="G114" s="536"/>
      <c r="H114" s="536"/>
      <c r="I114" s="536"/>
      <c r="J114" s="536"/>
      <c r="K114" s="13"/>
    </row>
    <row r="115" spans="1:14">
      <c r="A115" s="158"/>
      <c r="B115" s="158"/>
      <c r="C115" s="158"/>
      <c r="D115" s="536"/>
      <c r="E115" s="536"/>
      <c r="F115" s="536"/>
      <c r="G115" s="536"/>
      <c r="H115" s="536"/>
      <c r="I115" s="536"/>
      <c r="J115" s="536"/>
      <c r="K115" s="13"/>
    </row>
    <row r="116" spans="1:14">
      <c r="A116" s="364" t="s">
        <v>706</v>
      </c>
      <c r="B116" s="367"/>
      <c r="C116" s="365"/>
      <c r="D116" s="538"/>
      <c r="E116" s="538"/>
      <c r="F116" s="538"/>
      <c r="G116" s="538"/>
      <c r="H116" s="538"/>
      <c r="I116" s="538"/>
      <c r="J116" s="539"/>
      <c r="K116" s="372"/>
      <c r="L116" s="368"/>
      <c r="M116" s="251"/>
      <c r="N116" s="251"/>
    </row>
    <row r="117" spans="1:14" ht="27.75" customHeight="1">
      <c r="A117" s="80" t="s">
        <v>707</v>
      </c>
      <c r="B117" s="80" t="s">
        <v>708</v>
      </c>
      <c r="C117" s="80">
        <v>0.01</v>
      </c>
      <c r="D117" s="624">
        <f>+('2.Capex Details'!$G$64+'2.Capex Details'!$G$12)*'13.Facility 2 Grain Processing-'!$C$117</f>
        <v>1.7968299999999999</v>
      </c>
      <c r="E117" s="624">
        <f>+D117*E78</f>
        <v>1.8866715000000001</v>
      </c>
      <c r="F117" s="624">
        <f>+$D$117*F78</f>
        <v>1.9810050749999999</v>
      </c>
      <c r="G117" s="624">
        <f>+$D$117*G78</f>
        <v>2.0800553287500003</v>
      </c>
      <c r="H117" s="624">
        <f>+$D$117*H78</f>
        <v>2.1840580951875004</v>
      </c>
      <c r="I117" s="624">
        <f>+$D$117*I78</f>
        <v>2.2932609999468756</v>
      </c>
      <c r="J117" s="624">
        <f>+$D$117*J78</f>
        <v>2.4079240499442194</v>
      </c>
      <c r="K117" s="369"/>
      <c r="L117" s="369"/>
      <c r="M117" s="251"/>
      <c r="N117" s="251"/>
    </row>
    <row r="118" spans="1:14" ht="21.75" customHeight="1">
      <c r="A118" s="80" t="s">
        <v>709</v>
      </c>
      <c r="B118" s="80" t="s">
        <v>710</v>
      </c>
      <c r="C118" s="80">
        <v>5.0000000000000001E-3</v>
      </c>
      <c r="D118" s="624">
        <f>+('2.Capex Details'!$G$64+'2.Capex Details'!$G$12)*C118</f>
        <v>0.89841499999999996</v>
      </c>
      <c r="E118" s="624">
        <f t="shared" ref="E118:J118" si="60">+$D$118*E78</f>
        <v>0.94333575000000003</v>
      </c>
      <c r="F118" s="624">
        <f t="shared" si="60"/>
        <v>0.99050253749999995</v>
      </c>
      <c r="G118" s="624">
        <f t="shared" si="60"/>
        <v>1.0400276643750002</v>
      </c>
      <c r="H118" s="624">
        <f t="shared" si="60"/>
        <v>1.0920290475937502</v>
      </c>
      <c r="I118" s="624">
        <f t="shared" si="60"/>
        <v>1.1466304999734378</v>
      </c>
      <c r="J118" s="624">
        <f t="shared" si="60"/>
        <v>1.2039620249721097</v>
      </c>
      <c r="K118" s="369"/>
      <c r="L118" s="369"/>
      <c r="M118" s="251"/>
      <c r="N118" s="251"/>
    </row>
    <row r="119" spans="1:14" ht="29.25" customHeight="1">
      <c r="A119" s="80" t="s">
        <v>711</v>
      </c>
      <c r="B119" s="80" t="s">
        <v>712</v>
      </c>
      <c r="C119" s="80" t="s">
        <v>785</v>
      </c>
      <c r="D119" s="624">
        <f>+'Input Sheet'!H185+'Input Sheet'!H187+'Input Sheet'!H190+'Input Sheet'!H191</f>
        <v>4.2</v>
      </c>
      <c r="E119" s="624">
        <f t="shared" ref="E119:J119" si="61">+$D$119*E78</f>
        <v>4.41</v>
      </c>
      <c r="F119" s="624">
        <f t="shared" si="61"/>
        <v>4.6305000000000005</v>
      </c>
      <c r="G119" s="624">
        <f t="shared" si="61"/>
        <v>4.8620250000000009</v>
      </c>
      <c r="H119" s="624">
        <f t="shared" si="61"/>
        <v>5.1051262500000014</v>
      </c>
      <c r="I119" s="624">
        <f t="shared" si="61"/>
        <v>5.3603825625000017</v>
      </c>
      <c r="J119" s="624">
        <f t="shared" si="61"/>
        <v>5.6284016906250018</v>
      </c>
      <c r="K119" s="369"/>
      <c r="L119" s="369"/>
      <c r="M119" s="251"/>
      <c r="N119" s="251"/>
    </row>
    <row r="120" spans="1:14" ht="23.25" customHeight="1">
      <c r="A120" s="80" t="s">
        <v>713</v>
      </c>
      <c r="B120" s="80" t="s">
        <v>692</v>
      </c>
      <c r="C120" s="80"/>
      <c r="D120" s="624">
        <f>+'Input Sheet'!E205/100000</f>
        <v>0.6</v>
      </c>
      <c r="E120" s="624">
        <f t="shared" ref="E120:J120" si="62">+$D$120*E78</f>
        <v>0.63</v>
      </c>
      <c r="F120" s="624">
        <f t="shared" si="62"/>
        <v>0.66149999999999998</v>
      </c>
      <c r="G120" s="624">
        <f t="shared" si="62"/>
        <v>0.69457500000000005</v>
      </c>
      <c r="H120" s="624">
        <f t="shared" si="62"/>
        <v>0.72930375000000014</v>
      </c>
      <c r="I120" s="624">
        <f t="shared" si="62"/>
        <v>0.76576893750000019</v>
      </c>
      <c r="J120" s="624">
        <f t="shared" si="62"/>
        <v>0.80405738437500018</v>
      </c>
      <c r="K120" s="369"/>
      <c r="L120" s="369"/>
      <c r="M120" s="251">
        <v>30</v>
      </c>
      <c r="N120" s="251"/>
    </row>
    <row r="121" spans="1:14">
      <c r="A121" s="82" t="s">
        <v>786</v>
      </c>
      <c r="B121" s="82"/>
      <c r="C121" s="82"/>
      <c r="D121" s="397">
        <f t="shared" ref="D121:J121" si="63">SUM(D117:D120)</f>
        <v>7.4952449999999997</v>
      </c>
      <c r="E121" s="397">
        <f t="shared" si="63"/>
        <v>7.8700072499999996</v>
      </c>
      <c r="F121" s="397">
        <f t="shared" si="63"/>
        <v>8.2635076124999998</v>
      </c>
      <c r="G121" s="397">
        <f t="shared" si="63"/>
        <v>8.6766829931250022</v>
      </c>
      <c r="H121" s="397">
        <f t="shared" si="63"/>
        <v>9.1105171427812515</v>
      </c>
      <c r="I121" s="397">
        <f t="shared" si="63"/>
        <v>9.5660429999203149</v>
      </c>
      <c r="J121" s="397">
        <f t="shared" si="63"/>
        <v>10.044345149916332</v>
      </c>
      <c r="M121">
        <v>35</v>
      </c>
    </row>
    <row r="122" spans="1:14">
      <c r="A122" s="158" t="s">
        <v>287</v>
      </c>
      <c r="B122" s="158"/>
      <c r="C122" s="158"/>
      <c r="D122" s="397">
        <f t="shared" ref="D122:J122" si="64">D112+D121</f>
        <v>1151.67516</v>
      </c>
      <c r="E122" s="397">
        <f t="shared" si="64"/>
        <v>1206.88387225</v>
      </c>
      <c r="F122" s="397">
        <f t="shared" si="64"/>
        <v>1265.6241626125</v>
      </c>
      <c r="G122" s="397">
        <f t="shared" si="64"/>
        <v>1327.3480379931252</v>
      </c>
      <c r="H122" s="397">
        <f t="shared" si="64"/>
        <v>1392.1025721427814</v>
      </c>
      <c r="I122" s="397">
        <f t="shared" si="64"/>
        <v>1564.5726929999203</v>
      </c>
      <c r="J122" s="397">
        <f t="shared" si="64"/>
        <v>1751.0752851499167</v>
      </c>
      <c r="M122">
        <f>+M121*0.8</f>
        <v>28</v>
      </c>
    </row>
    <row r="123" spans="1:14">
      <c r="A123" s="80"/>
      <c r="B123" s="80"/>
      <c r="C123" s="80"/>
      <c r="D123" s="360"/>
      <c r="E123" s="360"/>
      <c r="F123" s="360"/>
      <c r="G123" s="360"/>
      <c r="H123" s="360"/>
      <c r="I123" s="360"/>
      <c r="J123" s="360"/>
    </row>
    <row r="124" spans="1:14">
      <c r="A124" s="82" t="s">
        <v>7</v>
      </c>
      <c r="B124" s="82"/>
      <c r="C124" s="82"/>
      <c r="D124" s="397">
        <f t="shared" ref="D124:J124" si="65">D89-D122+D92-D91</f>
        <v>66.917839999999728</v>
      </c>
      <c r="E124" s="397">
        <f t="shared" si="65"/>
        <v>76.688877750000131</v>
      </c>
      <c r="F124" s="397">
        <f t="shared" si="65"/>
        <v>85.746500720833509</v>
      </c>
      <c r="G124" s="397">
        <f t="shared" si="65"/>
        <v>95.346581006874828</v>
      </c>
      <c r="H124" s="397">
        <f t="shared" si="65"/>
        <v>105.58759239055183</v>
      </c>
      <c r="I124" s="397">
        <f t="shared" si="65"/>
        <v>123.3354546000798</v>
      </c>
      <c r="J124" s="397">
        <f t="shared" si="65"/>
        <v>144.70593982874971</v>
      </c>
    </row>
    <row r="125" spans="1:14">
      <c r="A125" s="99"/>
      <c r="B125" s="99"/>
      <c r="C125" s="99"/>
      <c r="D125" s="94"/>
      <c r="E125" s="94"/>
      <c r="F125" s="94"/>
      <c r="G125" s="94"/>
      <c r="H125" s="94"/>
      <c r="I125" s="94"/>
      <c r="J125" s="94"/>
    </row>
    <row r="126" spans="1:14">
      <c r="A126" s="99"/>
      <c r="B126" s="99"/>
      <c r="C126" s="99"/>
      <c r="D126" s="94"/>
      <c r="E126" s="94"/>
      <c r="F126" s="94"/>
      <c r="G126" s="94"/>
      <c r="H126" s="94"/>
      <c r="I126" s="94"/>
      <c r="J126" s="94"/>
    </row>
    <row r="127" spans="1:14">
      <c r="A127" s="99"/>
      <c r="B127" s="99"/>
      <c r="C127" s="99"/>
      <c r="D127" s="94"/>
      <c r="E127" s="94"/>
      <c r="F127" s="94"/>
      <c r="G127" s="94"/>
      <c r="H127" s="94"/>
      <c r="I127" s="94"/>
      <c r="J127" s="94"/>
    </row>
    <row r="128" spans="1:14" ht="20.25">
      <c r="A128" s="740" t="s">
        <v>787</v>
      </c>
      <c r="B128" s="740"/>
      <c r="C128" s="740"/>
      <c r="D128" s="740"/>
      <c r="E128" s="740"/>
      <c r="F128" s="740"/>
      <c r="G128" s="740"/>
      <c r="H128" s="740"/>
      <c r="I128" s="740"/>
      <c r="J128" s="94"/>
    </row>
    <row r="129" spans="1:10">
      <c r="A129" s="99"/>
      <c r="B129" s="99"/>
      <c r="C129" s="99"/>
      <c r="D129" s="94"/>
      <c r="E129" s="94"/>
      <c r="F129" s="94"/>
      <c r="G129" s="94"/>
      <c r="H129" s="94"/>
      <c r="I129" s="94"/>
      <c r="J129" s="94"/>
    </row>
    <row r="130" spans="1:10" ht="20.25">
      <c r="A130" s="601" t="s">
        <v>665</v>
      </c>
      <c r="B130" s="601"/>
      <c r="C130" s="601"/>
      <c r="D130" s="601"/>
      <c r="E130" s="601"/>
      <c r="F130" s="601"/>
      <c r="G130" s="601"/>
      <c r="H130" s="601"/>
      <c r="I130" s="601"/>
      <c r="J130" s="94"/>
    </row>
    <row r="131" spans="1:10">
      <c r="A131" s="122" t="s">
        <v>652</v>
      </c>
      <c r="B131" s="122" t="s">
        <v>0</v>
      </c>
      <c r="C131" s="122" t="s">
        <v>2</v>
      </c>
      <c r="D131" s="122" t="s">
        <v>3</v>
      </c>
      <c r="E131" s="122" t="s">
        <v>4</v>
      </c>
      <c r="F131" s="122" t="s">
        <v>5</v>
      </c>
      <c r="G131" s="122" t="s">
        <v>6</v>
      </c>
      <c r="H131" s="122" t="s">
        <v>163</v>
      </c>
      <c r="I131" s="122" t="s">
        <v>162</v>
      </c>
      <c r="J131" s="363">
        <v>4</v>
      </c>
    </row>
    <row r="132" spans="1:10">
      <c r="A132" s="332"/>
      <c r="B132" s="333"/>
      <c r="C132" s="334"/>
      <c r="D132" s="424"/>
      <c r="E132" s="424"/>
      <c r="F132" s="424"/>
      <c r="G132" s="424"/>
      <c r="H132" s="424"/>
      <c r="I132" s="424"/>
    </row>
    <row r="133" spans="1:10">
      <c r="A133" s="332"/>
      <c r="B133" s="335" t="str">
        <f>+'Input Sheet'!B95</f>
        <v>Chana</v>
      </c>
      <c r="C133" s="334"/>
      <c r="D133" s="424"/>
      <c r="E133" s="424"/>
      <c r="F133" s="424"/>
      <c r="G133" s="424"/>
      <c r="H133" s="424"/>
      <c r="I133" s="424"/>
    </row>
    <row r="134" spans="1:10">
      <c r="A134" s="336" t="s">
        <v>167</v>
      </c>
      <c r="B134" s="622" t="str">
        <f>+A42</f>
        <v>Grade I</v>
      </c>
      <c r="C134" s="387">
        <f>+C202</f>
        <v>463.83333333333331</v>
      </c>
      <c r="D134" s="387">
        <f t="shared" ref="D134:I134" si="66">+D202</f>
        <v>463.83333333333337</v>
      </c>
      <c r="E134" s="387">
        <f t="shared" si="66"/>
        <v>463.83333333333337</v>
      </c>
      <c r="F134" s="387">
        <f t="shared" si="66"/>
        <v>463.83333333333331</v>
      </c>
      <c r="G134" s="387">
        <f t="shared" si="66"/>
        <v>463.83333333333326</v>
      </c>
      <c r="H134" s="387">
        <f t="shared" si="66"/>
        <v>496.41666666666669</v>
      </c>
      <c r="I134" s="387">
        <f t="shared" si="66"/>
        <v>529.95833333333326</v>
      </c>
    </row>
    <row r="135" spans="1:10">
      <c r="A135" s="314"/>
      <c r="B135" s="330" t="s">
        <v>653</v>
      </c>
      <c r="C135" s="337">
        <f t="shared" ref="C135:I135" si="67">+C221</f>
        <v>55000</v>
      </c>
      <c r="D135" s="425">
        <f t="shared" si="67"/>
        <v>57750</v>
      </c>
      <c r="E135" s="425">
        <f t="shared" si="67"/>
        <v>60640</v>
      </c>
      <c r="F135" s="425">
        <f t="shared" si="67"/>
        <v>63670</v>
      </c>
      <c r="G135" s="425">
        <f t="shared" si="67"/>
        <v>66850</v>
      </c>
      <c r="H135" s="425">
        <f t="shared" si="67"/>
        <v>70190</v>
      </c>
      <c r="I135" s="425">
        <f t="shared" si="67"/>
        <v>73700</v>
      </c>
    </row>
    <row r="136" spans="1:10">
      <c r="A136" s="314"/>
      <c r="B136" s="313" t="s">
        <v>654</v>
      </c>
      <c r="C136" s="338">
        <f t="shared" ref="C136:I136" si="68">C134*C135/100000</f>
        <v>255.10833333333332</v>
      </c>
      <c r="D136" s="338">
        <f t="shared" si="68"/>
        <v>267.86375000000004</v>
      </c>
      <c r="E136" s="338">
        <f t="shared" si="68"/>
        <v>281.26853333333338</v>
      </c>
      <c r="F136" s="338">
        <f t="shared" si="68"/>
        <v>295.32268333333332</v>
      </c>
      <c r="G136" s="338">
        <f t="shared" si="68"/>
        <v>310.07258333333328</v>
      </c>
      <c r="H136" s="338">
        <f t="shared" si="68"/>
        <v>348.43485833333335</v>
      </c>
      <c r="I136" s="338">
        <f t="shared" si="68"/>
        <v>390.57929166666662</v>
      </c>
    </row>
    <row r="137" spans="1:10">
      <c r="A137" s="314"/>
      <c r="B137" s="313"/>
      <c r="C137" s="338"/>
      <c r="D137" s="426"/>
      <c r="E137" s="426"/>
      <c r="F137" s="426"/>
      <c r="G137" s="426"/>
      <c r="H137" s="426"/>
      <c r="I137" s="426"/>
    </row>
    <row r="138" spans="1:10">
      <c r="A138" s="336" t="s">
        <v>168</v>
      </c>
      <c r="B138" s="313" t="str">
        <f>+A43</f>
        <v>Grade II</v>
      </c>
      <c r="C138" s="330">
        <f t="shared" ref="C138:I138" si="69">+C210</f>
        <v>270.25</v>
      </c>
      <c r="D138" s="387">
        <f t="shared" si="69"/>
        <v>270.25</v>
      </c>
      <c r="E138" s="387">
        <f t="shared" si="69"/>
        <v>270.25</v>
      </c>
      <c r="F138" s="387">
        <f t="shared" si="69"/>
        <v>270.25</v>
      </c>
      <c r="G138" s="387">
        <f t="shared" si="69"/>
        <v>270.25</v>
      </c>
      <c r="H138" s="387">
        <f t="shared" si="69"/>
        <v>289.41666666666669</v>
      </c>
      <c r="I138" s="387">
        <f t="shared" si="69"/>
        <v>309.54166666666663</v>
      </c>
    </row>
    <row r="139" spans="1:10">
      <c r="A139" s="314"/>
      <c r="B139" s="330" t="s">
        <v>653</v>
      </c>
      <c r="C139" s="337">
        <f t="shared" ref="C139:I139" si="70">+C222</f>
        <v>47500</v>
      </c>
      <c r="D139" s="425">
        <f t="shared" si="70"/>
        <v>49880</v>
      </c>
      <c r="E139" s="425">
        <f t="shared" si="70"/>
        <v>52370</v>
      </c>
      <c r="F139" s="425">
        <f t="shared" si="70"/>
        <v>54990</v>
      </c>
      <c r="G139" s="425">
        <f t="shared" si="70"/>
        <v>57740</v>
      </c>
      <c r="H139" s="425">
        <f t="shared" si="70"/>
        <v>60630</v>
      </c>
      <c r="I139" s="425">
        <f t="shared" si="70"/>
        <v>63660</v>
      </c>
    </row>
    <row r="140" spans="1:10">
      <c r="A140" s="314"/>
      <c r="B140" s="313" t="s">
        <v>654</v>
      </c>
      <c r="C140" s="338">
        <f t="shared" ref="C140:I140" si="71">C138*C139/100000</f>
        <v>128.36875000000001</v>
      </c>
      <c r="D140" s="426">
        <f t="shared" si="71"/>
        <v>134.80070000000001</v>
      </c>
      <c r="E140" s="426">
        <f t="shared" si="71"/>
        <v>141.52992499999999</v>
      </c>
      <c r="F140" s="426">
        <f t="shared" si="71"/>
        <v>148.61047500000001</v>
      </c>
      <c r="G140" s="426">
        <f t="shared" si="71"/>
        <v>156.04235</v>
      </c>
      <c r="H140" s="426">
        <f t="shared" si="71"/>
        <v>175.47332499999999</v>
      </c>
      <c r="I140" s="426">
        <f t="shared" si="71"/>
        <v>197.05422499999997</v>
      </c>
    </row>
    <row r="141" spans="1:10">
      <c r="A141" s="314"/>
      <c r="B141" s="314"/>
      <c r="C141" s="314"/>
      <c r="D141" s="342"/>
      <c r="E141" s="342"/>
      <c r="F141" s="342"/>
      <c r="G141" s="342"/>
      <c r="H141" s="342"/>
      <c r="I141" s="342"/>
    </row>
    <row r="142" spans="1:10" hidden="1">
      <c r="A142" s="336" t="s">
        <v>169</v>
      </c>
      <c r="B142" s="340" t="str">
        <f>+A44</f>
        <v>Waste</v>
      </c>
      <c r="C142" s="330">
        <f t="shared" ref="C142:I142" si="72">+C216</f>
        <v>0</v>
      </c>
      <c r="D142" s="387">
        <f t="shared" si="72"/>
        <v>0</v>
      </c>
      <c r="E142" s="387">
        <f t="shared" si="72"/>
        <v>0</v>
      </c>
      <c r="F142" s="387">
        <f t="shared" si="72"/>
        <v>0</v>
      </c>
      <c r="G142" s="387">
        <f t="shared" si="72"/>
        <v>0</v>
      </c>
      <c r="H142" s="387">
        <f t="shared" si="72"/>
        <v>0</v>
      </c>
      <c r="I142" s="387">
        <f t="shared" si="72"/>
        <v>0</v>
      </c>
    </row>
    <row r="143" spans="1:10" hidden="1">
      <c r="A143" s="314"/>
      <c r="B143" s="330" t="s">
        <v>653</v>
      </c>
      <c r="C143" s="337">
        <f t="shared" ref="C143:I143" si="73">+C223</f>
        <v>0</v>
      </c>
      <c r="D143" s="425">
        <f t="shared" si="73"/>
        <v>0</v>
      </c>
      <c r="E143" s="425">
        <f t="shared" si="73"/>
        <v>0</v>
      </c>
      <c r="F143" s="425">
        <f t="shared" si="73"/>
        <v>0</v>
      </c>
      <c r="G143" s="425">
        <f t="shared" si="73"/>
        <v>0</v>
      </c>
      <c r="H143" s="425">
        <f t="shared" si="73"/>
        <v>0</v>
      </c>
      <c r="I143" s="425">
        <f t="shared" si="73"/>
        <v>0</v>
      </c>
    </row>
    <row r="144" spans="1:10" hidden="1">
      <c r="A144" s="314"/>
      <c r="B144" s="313" t="s">
        <v>654</v>
      </c>
      <c r="C144" s="338">
        <f t="shared" ref="C144:I144" si="74">C142*C143/100000</f>
        <v>0</v>
      </c>
      <c r="D144" s="426">
        <f t="shared" si="74"/>
        <v>0</v>
      </c>
      <c r="E144" s="426">
        <f t="shared" si="74"/>
        <v>0</v>
      </c>
      <c r="F144" s="426">
        <f t="shared" si="74"/>
        <v>0</v>
      </c>
      <c r="G144" s="426">
        <f t="shared" si="74"/>
        <v>0</v>
      </c>
      <c r="H144" s="426">
        <f t="shared" si="74"/>
        <v>0</v>
      </c>
      <c r="I144" s="426">
        <f t="shared" si="74"/>
        <v>0</v>
      </c>
    </row>
    <row r="145" spans="1:9" hidden="1">
      <c r="A145" s="314"/>
      <c r="B145" s="313"/>
      <c r="C145" s="338"/>
      <c r="D145" s="426"/>
      <c r="E145" s="426"/>
      <c r="F145" s="426"/>
      <c r="G145" s="426"/>
      <c r="H145" s="426"/>
      <c r="I145" s="426"/>
    </row>
    <row r="146" spans="1:9">
      <c r="A146" s="314"/>
      <c r="B146" s="314"/>
      <c r="C146" s="314"/>
      <c r="D146" s="342"/>
      <c r="E146" s="342"/>
      <c r="F146" s="342"/>
      <c r="G146" s="342"/>
      <c r="H146" s="342"/>
      <c r="I146" s="342"/>
    </row>
    <row r="147" spans="1:9">
      <c r="A147" s="332"/>
      <c r="B147" s="621" t="str">
        <f>+'Input Sheet'!B96</f>
        <v>Soyabean</v>
      </c>
      <c r="C147" s="334"/>
      <c r="D147" s="424"/>
      <c r="E147" s="424"/>
      <c r="F147" s="424"/>
      <c r="G147" s="424"/>
      <c r="H147" s="424"/>
      <c r="I147" s="424"/>
    </row>
    <row r="148" spans="1:9">
      <c r="A148" s="336" t="s">
        <v>167</v>
      </c>
      <c r="B148" s="313" t="str">
        <f>+A47</f>
        <v>Grade I</v>
      </c>
      <c r="C148" s="387">
        <f>+C242</f>
        <v>463.83333333333331</v>
      </c>
      <c r="D148" s="387">
        <f t="shared" ref="D148:I148" si="75">+D242</f>
        <v>463.83333333333337</v>
      </c>
      <c r="E148" s="387">
        <f t="shared" si="75"/>
        <v>463.83333333333337</v>
      </c>
      <c r="F148" s="387">
        <f t="shared" si="75"/>
        <v>463.83333333333331</v>
      </c>
      <c r="G148" s="387">
        <f t="shared" si="75"/>
        <v>463.83333333333326</v>
      </c>
      <c r="H148" s="387">
        <f t="shared" si="75"/>
        <v>496.41666666666669</v>
      </c>
      <c r="I148" s="387">
        <f t="shared" si="75"/>
        <v>529.95833333333326</v>
      </c>
    </row>
    <row r="149" spans="1:9">
      <c r="A149" s="314"/>
      <c r="B149" s="330" t="s">
        <v>653</v>
      </c>
      <c r="C149" s="337">
        <f t="shared" ref="C149:I149" si="76">+C253</f>
        <v>70900</v>
      </c>
      <c r="D149" s="425">
        <f t="shared" si="76"/>
        <v>74450</v>
      </c>
      <c r="E149" s="425">
        <f t="shared" si="76"/>
        <v>78170</v>
      </c>
      <c r="F149" s="425">
        <f t="shared" si="76"/>
        <v>82080</v>
      </c>
      <c r="G149" s="425">
        <f t="shared" si="76"/>
        <v>86180</v>
      </c>
      <c r="H149" s="425">
        <f t="shared" si="76"/>
        <v>90490</v>
      </c>
      <c r="I149" s="425">
        <f t="shared" si="76"/>
        <v>95010</v>
      </c>
    </row>
    <row r="150" spans="1:9">
      <c r="A150" s="314"/>
      <c r="B150" s="313" t="s">
        <v>654</v>
      </c>
      <c r="C150" s="338">
        <f t="shared" ref="C150:I150" si="77">C148*C149/100000</f>
        <v>328.8578333333333</v>
      </c>
      <c r="D150" s="338">
        <f t="shared" si="77"/>
        <v>345.32391666666672</v>
      </c>
      <c r="E150" s="338">
        <f t="shared" si="77"/>
        <v>362.5785166666667</v>
      </c>
      <c r="F150" s="338">
        <f t="shared" si="77"/>
        <v>380.71440000000001</v>
      </c>
      <c r="G150" s="338">
        <f t="shared" si="77"/>
        <v>399.73156666666659</v>
      </c>
      <c r="H150" s="338">
        <f t="shared" si="77"/>
        <v>449.20744166666674</v>
      </c>
      <c r="I150" s="338">
        <f t="shared" si="77"/>
        <v>503.5134124999999</v>
      </c>
    </row>
    <row r="151" spans="1:9">
      <c r="A151" s="314"/>
      <c r="B151" s="313"/>
      <c r="C151" s="338"/>
      <c r="D151" s="426"/>
      <c r="E151" s="426"/>
      <c r="F151" s="426"/>
      <c r="G151" s="426"/>
      <c r="H151" s="426"/>
      <c r="I151" s="426"/>
    </row>
    <row r="152" spans="1:9">
      <c r="A152" s="314"/>
      <c r="B152" s="314"/>
      <c r="C152" s="314"/>
      <c r="D152" s="342"/>
      <c r="E152" s="342"/>
      <c r="F152" s="342"/>
      <c r="G152" s="342"/>
      <c r="H152" s="342"/>
      <c r="I152" s="342"/>
    </row>
    <row r="153" spans="1:9">
      <c r="A153" s="336" t="s">
        <v>168</v>
      </c>
      <c r="B153" s="313" t="str">
        <f>+A48</f>
        <v>Grade II</v>
      </c>
      <c r="C153" s="330">
        <f t="shared" ref="C153:I153" si="78">+C248</f>
        <v>270.25</v>
      </c>
      <c r="D153" s="387">
        <f t="shared" si="78"/>
        <v>270.25</v>
      </c>
      <c r="E153" s="387">
        <f t="shared" si="78"/>
        <v>270.25</v>
      </c>
      <c r="F153" s="387">
        <f t="shared" si="78"/>
        <v>270.25</v>
      </c>
      <c r="G153" s="387">
        <f t="shared" si="78"/>
        <v>270.25</v>
      </c>
      <c r="H153" s="387">
        <f t="shared" si="78"/>
        <v>289.41666666666669</v>
      </c>
      <c r="I153" s="387">
        <f t="shared" si="78"/>
        <v>309.54166666666663</v>
      </c>
    </row>
    <row r="154" spans="1:9">
      <c r="A154" s="314"/>
      <c r="B154" s="330" t="s">
        <v>653</v>
      </c>
      <c r="C154" s="337">
        <f>+'Input Sheet'!C117</f>
        <v>57500</v>
      </c>
      <c r="D154" s="337">
        <f>+'Input Sheet'!D117</f>
        <v>60380</v>
      </c>
      <c r="E154" s="337">
        <f>+'Input Sheet'!E117</f>
        <v>63400</v>
      </c>
      <c r="F154" s="337">
        <f>+'Input Sheet'!F117</f>
        <v>66570</v>
      </c>
      <c r="G154" s="337">
        <f>+'Input Sheet'!G117</f>
        <v>69900</v>
      </c>
      <c r="H154" s="337">
        <f>+'Input Sheet'!H117</f>
        <v>73400</v>
      </c>
      <c r="I154" s="337">
        <f>+'Input Sheet'!I117</f>
        <v>77070</v>
      </c>
    </row>
    <row r="155" spans="1:9">
      <c r="A155" s="314"/>
      <c r="B155" s="313" t="s">
        <v>654</v>
      </c>
      <c r="C155" s="338">
        <f t="shared" ref="C155:I155" si="79">C153*C154/100000</f>
        <v>155.39375000000001</v>
      </c>
      <c r="D155" s="426">
        <f t="shared" si="79"/>
        <v>163.17695000000001</v>
      </c>
      <c r="E155" s="426">
        <f t="shared" si="79"/>
        <v>171.33850000000001</v>
      </c>
      <c r="F155" s="426">
        <f t="shared" si="79"/>
        <v>179.90542500000001</v>
      </c>
      <c r="G155" s="426">
        <f t="shared" si="79"/>
        <v>188.90475000000001</v>
      </c>
      <c r="H155" s="426">
        <f t="shared" si="79"/>
        <v>212.43183333333334</v>
      </c>
      <c r="I155" s="426">
        <f t="shared" si="79"/>
        <v>238.56376249999997</v>
      </c>
    </row>
    <row r="156" spans="1:9">
      <c r="A156" s="314"/>
      <c r="B156" s="314"/>
      <c r="C156" s="314"/>
      <c r="D156" s="342"/>
      <c r="E156" s="342"/>
      <c r="F156" s="342"/>
      <c r="G156" s="342"/>
      <c r="H156" s="342"/>
      <c r="I156" s="342"/>
    </row>
    <row r="157" spans="1:9" hidden="1">
      <c r="A157" s="332"/>
      <c r="B157" s="621" t="str">
        <f>+'Input Sheet'!B98</f>
        <v>Udad</v>
      </c>
      <c r="C157" s="334"/>
      <c r="D157" s="424"/>
      <c r="E157" s="424"/>
      <c r="F157" s="424"/>
      <c r="G157" s="424"/>
      <c r="H157" s="424"/>
      <c r="I157" s="424"/>
    </row>
    <row r="158" spans="1:9" hidden="1">
      <c r="A158" s="336" t="s">
        <v>167</v>
      </c>
      <c r="B158" s="313" t="str">
        <f>+A52</f>
        <v>Grade I</v>
      </c>
      <c r="C158" s="331">
        <f>+C326</f>
        <v>0</v>
      </c>
      <c r="D158" s="331">
        <f t="shared" ref="D158:I158" si="80">+D326</f>
        <v>0</v>
      </c>
      <c r="E158" s="331">
        <f t="shared" si="80"/>
        <v>0</v>
      </c>
      <c r="F158" s="331">
        <f t="shared" si="80"/>
        <v>0</v>
      </c>
      <c r="G158" s="331">
        <f t="shared" si="80"/>
        <v>0</v>
      </c>
      <c r="H158" s="331">
        <f t="shared" si="80"/>
        <v>0</v>
      </c>
      <c r="I158" s="331">
        <f t="shared" si="80"/>
        <v>0</v>
      </c>
    </row>
    <row r="159" spans="1:9" hidden="1">
      <c r="A159" s="314"/>
      <c r="B159" s="330" t="s">
        <v>653</v>
      </c>
      <c r="C159" s="337">
        <f>+C336</f>
        <v>0</v>
      </c>
      <c r="D159" s="337">
        <f t="shared" ref="D159:I159" si="81">+D336</f>
        <v>0</v>
      </c>
      <c r="E159" s="337">
        <f t="shared" si="81"/>
        <v>0</v>
      </c>
      <c r="F159" s="337">
        <f t="shared" si="81"/>
        <v>0</v>
      </c>
      <c r="G159" s="337">
        <f t="shared" si="81"/>
        <v>0</v>
      </c>
      <c r="H159" s="337">
        <f t="shared" si="81"/>
        <v>0</v>
      </c>
      <c r="I159" s="337">
        <f t="shared" si="81"/>
        <v>0</v>
      </c>
    </row>
    <row r="160" spans="1:9" hidden="1">
      <c r="A160" s="314"/>
      <c r="B160" s="313" t="s">
        <v>654</v>
      </c>
      <c r="C160" s="338">
        <f t="shared" ref="C160:I160" si="82">C158*C159/100000</f>
        <v>0</v>
      </c>
      <c r="D160" s="338">
        <f t="shared" si="82"/>
        <v>0</v>
      </c>
      <c r="E160" s="338">
        <f t="shared" si="82"/>
        <v>0</v>
      </c>
      <c r="F160" s="338">
        <f t="shared" si="82"/>
        <v>0</v>
      </c>
      <c r="G160" s="338">
        <f t="shared" si="82"/>
        <v>0</v>
      </c>
      <c r="H160" s="338">
        <f t="shared" si="82"/>
        <v>0</v>
      </c>
      <c r="I160" s="338">
        <f t="shared" si="82"/>
        <v>0</v>
      </c>
    </row>
    <row r="161" spans="1:9" hidden="1">
      <c r="A161" s="314"/>
      <c r="B161" s="313"/>
      <c r="C161" s="338"/>
      <c r="D161" s="426"/>
      <c r="E161" s="426"/>
      <c r="F161" s="426"/>
      <c r="G161" s="426"/>
      <c r="H161" s="426"/>
      <c r="I161" s="426"/>
    </row>
    <row r="162" spans="1:9" hidden="1">
      <c r="A162" s="314"/>
      <c r="B162" s="313"/>
      <c r="C162" s="338"/>
      <c r="D162" s="426"/>
      <c r="E162" s="426"/>
      <c r="F162" s="426"/>
      <c r="G162" s="426"/>
      <c r="H162" s="426"/>
      <c r="I162" s="426"/>
    </row>
    <row r="163" spans="1:9" hidden="1">
      <c r="A163" s="314"/>
      <c r="B163" s="314"/>
      <c r="C163" s="314"/>
      <c r="D163" s="342"/>
      <c r="E163" s="342"/>
      <c r="F163" s="342"/>
      <c r="G163" s="342"/>
      <c r="H163" s="342"/>
      <c r="I163" s="342"/>
    </row>
    <row r="164" spans="1:9" hidden="1">
      <c r="A164" s="336" t="s">
        <v>168</v>
      </c>
      <c r="B164" s="315" t="str">
        <f>+'Input Sheet'!B125</f>
        <v>Grade II</v>
      </c>
      <c r="C164" s="617">
        <f>+C274</f>
        <v>0</v>
      </c>
      <c r="D164" s="617">
        <f t="shared" ref="D164:I164" si="83">+D274</f>
        <v>0</v>
      </c>
      <c r="E164" s="617">
        <f t="shared" si="83"/>
        <v>0</v>
      </c>
      <c r="F164" s="617">
        <f t="shared" si="83"/>
        <v>0</v>
      </c>
      <c r="G164" s="617">
        <f t="shared" si="83"/>
        <v>0</v>
      </c>
      <c r="H164" s="617">
        <f t="shared" si="83"/>
        <v>0</v>
      </c>
      <c r="I164" s="617">
        <f t="shared" si="83"/>
        <v>0</v>
      </c>
    </row>
    <row r="165" spans="1:9" hidden="1">
      <c r="A165" s="314"/>
      <c r="B165" s="330" t="s">
        <v>653</v>
      </c>
      <c r="C165" s="342">
        <f>+C337</f>
        <v>0</v>
      </c>
      <c r="D165" s="342">
        <f>+'Input Sheet'!D125</f>
        <v>0</v>
      </c>
      <c r="E165" s="342">
        <f>+'Input Sheet'!E125</f>
        <v>0</v>
      </c>
      <c r="F165" s="342">
        <f>+'Input Sheet'!F125</f>
        <v>0</v>
      </c>
      <c r="G165" s="342">
        <f>+'Input Sheet'!G125</f>
        <v>0</v>
      </c>
      <c r="H165" s="342">
        <f>+'Input Sheet'!H125</f>
        <v>0</v>
      </c>
      <c r="I165" s="342">
        <f>+'Input Sheet'!I125</f>
        <v>0</v>
      </c>
    </row>
    <row r="166" spans="1:9" hidden="1">
      <c r="A166" s="314"/>
      <c r="B166" s="313" t="s">
        <v>654</v>
      </c>
      <c r="C166" s="338">
        <f t="shared" ref="C166:I166" si="84">C164*C165/100000</f>
        <v>0</v>
      </c>
      <c r="D166" s="338">
        <f t="shared" si="84"/>
        <v>0</v>
      </c>
      <c r="E166" s="338">
        <f t="shared" si="84"/>
        <v>0</v>
      </c>
      <c r="F166" s="338">
        <f t="shared" si="84"/>
        <v>0</v>
      </c>
      <c r="G166" s="338">
        <f t="shared" si="84"/>
        <v>0</v>
      </c>
      <c r="H166" s="338">
        <f t="shared" si="84"/>
        <v>0</v>
      </c>
      <c r="I166" s="338">
        <f t="shared" si="84"/>
        <v>0</v>
      </c>
    </row>
    <row r="167" spans="1:9" hidden="1">
      <c r="A167" s="314"/>
      <c r="B167" s="313"/>
      <c r="C167" s="314"/>
      <c r="D167" s="342"/>
      <c r="E167" s="342"/>
      <c r="F167" s="342"/>
      <c r="G167" s="342"/>
      <c r="H167" s="342"/>
      <c r="I167" s="342"/>
    </row>
    <row r="168" spans="1:9" hidden="1">
      <c r="A168" s="314"/>
      <c r="B168" s="313"/>
      <c r="C168" s="314"/>
      <c r="D168" s="342"/>
      <c r="E168" s="342"/>
      <c r="F168" s="342"/>
      <c r="G168" s="342"/>
      <c r="H168" s="342"/>
      <c r="I168" s="342"/>
    </row>
    <row r="169" spans="1:9">
      <c r="A169" s="332"/>
      <c r="B169" s="335" t="str">
        <f>+'Input Sheet'!B99</f>
        <v>Tur</v>
      </c>
      <c r="C169" s="334"/>
      <c r="D169" s="424"/>
      <c r="E169" s="424"/>
      <c r="F169" s="424"/>
      <c r="G169" s="424"/>
      <c r="H169" s="424"/>
      <c r="I169" s="424"/>
    </row>
    <row r="170" spans="1:9">
      <c r="A170" s="336" t="s">
        <v>167</v>
      </c>
      <c r="B170" s="313" t="str">
        <f>+A57</f>
        <v>Grade I</v>
      </c>
      <c r="C170" s="330">
        <f t="shared" ref="C170:I170" si="85">+C290</f>
        <v>213</v>
      </c>
      <c r="D170" s="387">
        <f t="shared" si="85"/>
        <v>221</v>
      </c>
      <c r="E170" s="387">
        <f t="shared" si="85"/>
        <v>222</v>
      </c>
      <c r="F170" s="387">
        <f t="shared" si="85"/>
        <v>222</v>
      </c>
      <c r="G170" s="387">
        <f t="shared" si="85"/>
        <v>222</v>
      </c>
      <c r="H170" s="387">
        <f t="shared" si="85"/>
        <v>238</v>
      </c>
      <c r="I170" s="387">
        <f t="shared" si="85"/>
        <v>253</v>
      </c>
    </row>
    <row r="171" spans="1:9">
      <c r="A171" s="314"/>
      <c r="B171" s="330" t="s">
        <v>653</v>
      </c>
      <c r="C171" s="337">
        <f t="shared" ref="C171:I171" si="86">+C306</f>
        <v>76000</v>
      </c>
      <c r="D171" s="425">
        <f t="shared" si="86"/>
        <v>79800</v>
      </c>
      <c r="E171" s="425">
        <f t="shared" si="86"/>
        <v>83790</v>
      </c>
      <c r="F171" s="425">
        <f t="shared" si="86"/>
        <v>87980</v>
      </c>
      <c r="G171" s="425">
        <f t="shared" si="86"/>
        <v>92380</v>
      </c>
      <c r="H171" s="425">
        <f t="shared" si="86"/>
        <v>97000</v>
      </c>
      <c r="I171" s="425">
        <f t="shared" si="86"/>
        <v>101850</v>
      </c>
    </row>
    <row r="172" spans="1:9">
      <c r="A172" s="314"/>
      <c r="B172" s="313" t="s">
        <v>654</v>
      </c>
      <c r="C172" s="338">
        <f t="shared" ref="C172:I172" si="87">C170*C171/100000</f>
        <v>161.88</v>
      </c>
      <c r="D172" s="426">
        <f t="shared" si="87"/>
        <v>176.358</v>
      </c>
      <c r="E172" s="426">
        <f t="shared" si="87"/>
        <v>186.0138</v>
      </c>
      <c r="F172" s="426">
        <f t="shared" si="87"/>
        <v>195.31559999999999</v>
      </c>
      <c r="G172" s="426">
        <f t="shared" si="87"/>
        <v>205.08359999999999</v>
      </c>
      <c r="H172" s="426">
        <f t="shared" si="87"/>
        <v>230.86</v>
      </c>
      <c r="I172" s="426">
        <f t="shared" si="87"/>
        <v>257.68049999999999</v>
      </c>
    </row>
    <row r="173" spans="1:9">
      <c r="A173" s="314"/>
      <c r="B173" s="314"/>
      <c r="C173" s="314"/>
      <c r="D173" s="342"/>
      <c r="E173" s="342"/>
      <c r="F173" s="342"/>
      <c r="G173" s="342"/>
      <c r="H173" s="342"/>
      <c r="I173" s="342"/>
    </row>
    <row r="174" spans="1:9">
      <c r="A174" s="336" t="s">
        <v>168</v>
      </c>
      <c r="B174" s="313" t="str">
        <f>+A58</f>
        <v>Grade II</v>
      </c>
      <c r="C174" s="330">
        <f t="shared" ref="C174:I174" si="88">+C296</f>
        <v>154</v>
      </c>
      <c r="D174" s="387">
        <f t="shared" si="88"/>
        <v>161</v>
      </c>
      <c r="E174" s="387">
        <f t="shared" si="88"/>
        <v>161</v>
      </c>
      <c r="F174" s="387">
        <f t="shared" si="88"/>
        <v>161</v>
      </c>
      <c r="G174" s="387">
        <f t="shared" si="88"/>
        <v>161</v>
      </c>
      <c r="H174" s="387">
        <f t="shared" si="88"/>
        <v>172</v>
      </c>
      <c r="I174" s="387">
        <f t="shared" si="88"/>
        <v>184</v>
      </c>
    </row>
    <row r="175" spans="1:9">
      <c r="A175" s="314"/>
      <c r="B175" s="330" t="s">
        <v>653</v>
      </c>
      <c r="C175" s="337">
        <f t="shared" ref="C175:I175" si="89">+C307</f>
        <v>58500</v>
      </c>
      <c r="D175" s="425">
        <f t="shared" si="89"/>
        <v>61430</v>
      </c>
      <c r="E175" s="425">
        <f t="shared" si="89"/>
        <v>64500</v>
      </c>
      <c r="F175" s="425">
        <f t="shared" si="89"/>
        <v>67730</v>
      </c>
      <c r="G175" s="425">
        <f t="shared" si="89"/>
        <v>71120</v>
      </c>
      <c r="H175" s="425">
        <f t="shared" si="89"/>
        <v>74680</v>
      </c>
      <c r="I175" s="425">
        <f t="shared" si="89"/>
        <v>78410</v>
      </c>
    </row>
    <row r="176" spans="1:9">
      <c r="A176" s="314"/>
      <c r="B176" s="313" t="s">
        <v>654</v>
      </c>
      <c r="C176" s="338">
        <f t="shared" ref="C176:I176" si="90">C174*C175/100000</f>
        <v>90.09</v>
      </c>
      <c r="D176" s="426">
        <f t="shared" si="90"/>
        <v>98.902299999999997</v>
      </c>
      <c r="E176" s="426">
        <f t="shared" si="90"/>
        <v>103.845</v>
      </c>
      <c r="F176" s="426">
        <f t="shared" si="90"/>
        <v>109.0453</v>
      </c>
      <c r="G176" s="426">
        <f t="shared" si="90"/>
        <v>114.50320000000001</v>
      </c>
      <c r="H176" s="426">
        <f t="shared" si="90"/>
        <v>128.4496</v>
      </c>
      <c r="I176" s="426">
        <f t="shared" si="90"/>
        <v>144.27440000000001</v>
      </c>
    </row>
    <row r="177" spans="1:9">
      <c r="A177" s="314"/>
      <c r="B177" s="313"/>
      <c r="C177" s="338"/>
      <c r="D177" s="426"/>
      <c r="E177" s="426"/>
      <c r="F177" s="426"/>
      <c r="G177" s="426"/>
      <c r="H177" s="426"/>
      <c r="I177" s="426"/>
    </row>
    <row r="178" spans="1:9">
      <c r="A178" s="314"/>
      <c r="B178" s="313"/>
      <c r="C178" s="338"/>
      <c r="D178" s="426"/>
      <c r="E178" s="426"/>
      <c r="F178" s="426"/>
      <c r="G178" s="426"/>
      <c r="H178" s="426"/>
      <c r="I178" s="426"/>
    </row>
    <row r="179" spans="1:9">
      <c r="A179" s="314"/>
      <c r="B179" s="314"/>
      <c r="C179" s="314"/>
      <c r="D179" s="342"/>
      <c r="E179" s="342"/>
      <c r="F179" s="342"/>
      <c r="G179" s="342"/>
      <c r="H179" s="342"/>
      <c r="I179" s="342"/>
    </row>
    <row r="180" spans="1:9" hidden="1">
      <c r="A180" s="336" t="s">
        <v>169</v>
      </c>
      <c r="B180" s="313" t="str">
        <f>+A59</f>
        <v>Waste</v>
      </c>
      <c r="C180" s="330">
        <f t="shared" ref="C180:I180" si="91">+C302</f>
        <v>0</v>
      </c>
      <c r="D180" s="387">
        <f t="shared" si="91"/>
        <v>0</v>
      </c>
      <c r="E180" s="387">
        <f t="shared" si="91"/>
        <v>0</v>
      </c>
      <c r="F180" s="387">
        <f t="shared" si="91"/>
        <v>0</v>
      </c>
      <c r="G180" s="387">
        <f t="shared" si="91"/>
        <v>0</v>
      </c>
      <c r="H180" s="387">
        <f t="shared" si="91"/>
        <v>0</v>
      </c>
      <c r="I180" s="387">
        <f t="shared" si="91"/>
        <v>0</v>
      </c>
    </row>
    <row r="181" spans="1:9" hidden="1">
      <c r="A181" s="314"/>
      <c r="B181" s="330" t="s">
        <v>653</v>
      </c>
      <c r="C181" s="337">
        <f t="shared" ref="C181:I181" si="92">+C308</f>
        <v>0</v>
      </c>
      <c r="D181" s="425">
        <f t="shared" si="92"/>
        <v>0</v>
      </c>
      <c r="E181" s="425">
        <f t="shared" si="92"/>
        <v>0</v>
      </c>
      <c r="F181" s="425">
        <f t="shared" si="92"/>
        <v>0</v>
      </c>
      <c r="G181" s="425">
        <f t="shared" si="92"/>
        <v>0</v>
      </c>
      <c r="H181" s="425">
        <f t="shared" si="92"/>
        <v>0</v>
      </c>
      <c r="I181" s="425">
        <f t="shared" si="92"/>
        <v>0</v>
      </c>
    </row>
    <row r="182" spans="1:9" hidden="1">
      <c r="A182" s="314"/>
      <c r="B182" s="313" t="s">
        <v>654</v>
      </c>
      <c r="C182" s="338">
        <f t="shared" ref="C182:I182" si="93">C180*C181/100000</f>
        <v>0</v>
      </c>
      <c r="D182" s="426">
        <f t="shared" si="93"/>
        <v>0</v>
      </c>
      <c r="E182" s="426">
        <f t="shared" si="93"/>
        <v>0</v>
      </c>
      <c r="F182" s="426">
        <f t="shared" si="93"/>
        <v>0</v>
      </c>
      <c r="G182" s="426">
        <f t="shared" si="93"/>
        <v>0</v>
      </c>
      <c r="H182" s="426">
        <f t="shared" si="93"/>
        <v>0</v>
      </c>
      <c r="I182" s="426">
        <f t="shared" si="93"/>
        <v>0</v>
      </c>
    </row>
    <row r="183" spans="1:9" hidden="1">
      <c r="A183" s="314"/>
      <c r="B183" s="313"/>
      <c r="C183" s="338"/>
      <c r="D183" s="426"/>
      <c r="E183" s="426"/>
      <c r="F183" s="426"/>
      <c r="G183" s="426"/>
      <c r="H183" s="426"/>
      <c r="I183" s="426"/>
    </row>
    <row r="184" spans="1:9" hidden="1">
      <c r="A184" s="332"/>
      <c r="B184" s="335" t="str">
        <f>+'Input Sheet'!B100</f>
        <v>Chilli</v>
      </c>
      <c r="C184" s="334"/>
      <c r="D184" s="424"/>
      <c r="E184" s="424"/>
      <c r="F184" s="424"/>
      <c r="G184" s="424"/>
      <c r="H184" s="424"/>
      <c r="I184" s="424"/>
    </row>
    <row r="185" spans="1:9" hidden="1">
      <c r="A185" s="336" t="s">
        <v>167</v>
      </c>
      <c r="B185" s="313" t="str">
        <f>+A62</f>
        <v>Green Chilli</v>
      </c>
      <c r="C185" s="330">
        <v>0</v>
      </c>
      <c r="D185" s="330">
        <v>0</v>
      </c>
      <c r="E185" s="330">
        <v>0</v>
      </c>
      <c r="F185" s="330">
        <v>0</v>
      </c>
      <c r="G185" s="330">
        <v>0</v>
      </c>
      <c r="H185" s="330">
        <v>0</v>
      </c>
      <c r="I185" s="330">
        <v>0</v>
      </c>
    </row>
    <row r="186" spans="1:9" hidden="1">
      <c r="A186" s="314"/>
      <c r="B186" s="330" t="s">
        <v>653</v>
      </c>
      <c r="C186" s="337">
        <f t="shared" ref="C186:I186" si="94">+C336</f>
        <v>0</v>
      </c>
      <c r="D186" s="425">
        <f t="shared" si="94"/>
        <v>0</v>
      </c>
      <c r="E186" s="425">
        <f t="shared" si="94"/>
        <v>0</v>
      </c>
      <c r="F186" s="425">
        <f t="shared" si="94"/>
        <v>0</v>
      </c>
      <c r="G186" s="425">
        <f t="shared" si="94"/>
        <v>0</v>
      </c>
      <c r="H186" s="425">
        <f t="shared" si="94"/>
        <v>0</v>
      </c>
      <c r="I186" s="425">
        <f t="shared" si="94"/>
        <v>0</v>
      </c>
    </row>
    <row r="187" spans="1:9" hidden="1">
      <c r="A187" s="314"/>
      <c r="B187" s="313" t="s">
        <v>654</v>
      </c>
      <c r="C187" s="338">
        <f t="shared" ref="C187:I187" si="95">C185*C186/100000</f>
        <v>0</v>
      </c>
      <c r="D187" s="426">
        <f t="shared" si="95"/>
        <v>0</v>
      </c>
      <c r="E187" s="426">
        <f t="shared" si="95"/>
        <v>0</v>
      </c>
      <c r="F187" s="426">
        <f t="shared" si="95"/>
        <v>0</v>
      </c>
      <c r="G187" s="426">
        <f t="shared" si="95"/>
        <v>0</v>
      </c>
      <c r="H187" s="426">
        <f t="shared" si="95"/>
        <v>0</v>
      </c>
      <c r="I187" s="426">
        <f t="shared" si="95"/>
        <v>0</v>
      </c>
    </row>
    <row r="188" spans="1:9" hidden="1">
      <c r="A188" s="314"/>
      <c r="B188" s="313"/>
      <c r="C188" s="338"/>
      <c r="D188" s="426"/>
      <c r="E188" s="426"/>
      <c r="F188" s="426"/>
      <c r="G188" s="426"/>
      <c r="H188" s="426"/>
      <c r="I188" s="426"/>
    </row>
    <row r="189" spans="1:9" hidden="1">
      <c r="A189" s="315" t="s">
        <v>168</v>
      </c>
      <c r="B189" s="313" t="str">
        <f>+A63</f>
        <v>Red Chilli</v>
      </c>
      <c r="C189" s="330">
        <v>0</v>
      </c>
      <c r="D189" s="330">
        <v>0</v>
      </c>
      <c r="E189" s="330">
        <v>0</v>
      </c>
      <c r="F189" s="330">
        <v>0</v>
      </c>
      <c r="G189" s="330">
        <v>0</v>
      </c>
      <c r="H189" s="330">
        <v>0</v>
      </c>
      <c r="I189" s="330">
        <v>0</v>
      </c>
    </row>
    <row r="190" spans="1:9" hidden="1">
      <c r="A190" s="314"/>
      <c r="B190" s="330" t="s">
        <v>653</v>
      </c>
      <c r="C190" s="337">
        <f t="shared" ref="C190:I190" si="96">+C337</f>
        <v>0</v>
      </c>
      <c r="D190" s="425">
        <f t="shared" si="96"/>
        <v>0</v>
      </c>
      <c r="E190" s="425">
        <f t="shared" si="96"/>
        <v>0</v>
      </c>
      <c r="F190" s="425">
        <f t="shared" si="96"/>
        <v>0</v>
      </c>
      <c r="G190" s="425">
        <f t="shared" si="96"/>
        <v>0</v>
      </c>
      <c r="H190" s="425">
        <f t="shared" si="96"/>
        <v>0</v>
      </c>
      <c r="I190" s="425">
        <f t="shared" si="96"/>
        <v>0</v>
      </c>
    </row>
    <row r="191" spans="1:9" hidden="1">
      <c r="A191" s="314"/>
      <c r="B191" s="313" t="s">
        <v>654</v>
      </c>
      <c r="C191" s="338">
        <f t="shared" ref="C191:I191" si="97">C189*C190/100000</f>
        <v>0</v>
      </c>
      <c r="D191" s="426">
        <f t="shared" si="97"/>
        <v>0</v>
      </c>
      <c r="E191" s="426">
        <f t="shared" si="97"/>
        <v>0</v>
      </c>
      <c r="F191" s="426">
        <f t="shared" si="97"/>
        <v>0</v>
      </c>
      <c r="G191" s="426">
        <f t="shared" si="97"/>
        <v>0</v>
      </c>
      <c r="H191" s="426">
        <f t="shared" si="97"/>
        <v>0</v>
      </c>
      <c r="I191" s="426">
        <f t="shared" si="97"/>
        <v>0</v>
      </c>
    </row>
    <row r="192" spans="1:9" hidden="1">
      <c r="A192" s="314"/>
      <c r="B192" s="314"/>
      <c r="C192" s="314"/>
      <c r="D192" s="342"/>
      <c r="E192" s="342"/>
      <c r="F192" s="342"/>
      <c r="G192" s="342"/>
      <c r="H192" s="342"/>
      <c r="I192" s="342"/>
    </row>
    <row r="193" spans="1:10" hidden="1">
      <c r="A193" s="314"/>
      <c r="B193" s="314"/>
      <c r="C193" s="314"/>
      <c r="D193" s="342"/>
      <c r="E193" s="342"/>
      <c r="F193" s="342"/>
      <c r="G193" s="342"/>
      <c r="H193" s="342"/>
      <c r="I193" s="342"/>
    </row>
    <row r="194" spans="1:10">
      <c r="A194" s="314"/>
      <c r="B194" s="315" t="s">
        <v>656</v>
      </c>
      <c r="C194" s="339">
        <f>+C136+C140+C150+C155+C172+C176</f>
        <v>1119.6986666666664</v>
      </c>
      <c r="D194" s="339">
        <f t="shared" ref="D194:I194" si="98">+D136+D140+D150+D155+D172+D176</f>
        <v>1186.4256166666667</v>
      </c>
      <c r="E194" s="339">
        <f t="shared" si="98"/>
        <v>1246.5742750000002</v>
      </c>
      <c r="F194" s="339">
        <f t="shared" si="98"/>
        <v>1308.9138833333334</v>
      </c>
      <c r="G194" s="339">
        <f t="shared" si="98"/>
        <v>1374.3380499999998</v>
      </c>
      <c r="H194" s="339">
        <f t="shared" si="98"/>
        <v>1544.8570583333335</v>
      </c>
      <c r="I194" s="339">
        <f t="shared" si="98"/>
        <v>1731.6655916666664</v>
      </c>
    </row>
    <row r="196" spans="1:10" ht="20.25">
      <c r="A196" s="601" t="s">
        <v>664</v>
      </c>
      <c r="B196" s="343"/>
      <c r="C196" s="343"/>
      <c r="D196" s="427"/>
      <c r="E196" s="427"/>
      <c r="F196" s="427"/>
      <c r="G196" s="427"/>
      <c r="H196" s="427"/>
      <c r="I196" s="427"/>
    </row>
    <row r="197" spans="1:10">
      <c r="A197" s="122" t="s">
        <v>652</v>
      </c>
      <c r="B197" s="122" t="s">
        <v>0</v>
      </c>
      <c r="C197" s="122" t="s">
        <v>2</v>
      </c>
      <c r="D197" s="122" t="s">
        <v>3</v>
      </c>
      <c r="E197" s="122" t="s">
        <v>4</v>
      </c>
      <c r="F197" s="122" t="s">
        <v>5</v>
      </c>
      <c r="G197" s="122" t="s">
        <v>6</v>
      </c>
      <c r="H197" s="122" t="s">
        <v>163</v>
      </c>
      <c r="I197" s="122" t="s">
        <v>162</v>
      </c>
      <c r="J197" s="363">
        <v>3</v>
      </c>
    </row>
    <row r="198" spans="1:10">
      <c r="A198" s="341"/>
      <c r="B198" s="622" t="str">
        <f>+'Input Sheet'!B80</f>
        <v>Finished Goods  -Chana (MT)</v>
      </c>
      <c r="C198" s="324"/>
      <c r="D198" s="416"/>
      <c r="E198" s="416"/>
      <c r="F198" s="416"/>
      <c r="G198" s="416"/>
      <c r="H198" s="416"/>
      <c r="I198" s="416"/>
    </row>
    <row r="199" spans="1:10">
      <c r="A199" s="336" t="s">
        <v>167</v>
      </c>
      <c r="B199" s="313" t="str">
        <f>+B134</f>
        <v>Grade I</v>
      </c>
      <c r="C199" s="330"/>
      <c r="D199" s="387"/>
      <c r="E199" s="387"/>
      <c r="F199" s="387"/>
      <c r="G199" s="387"/>
      <c r="H199" s="342"/>
      <c r="I199" s="342"/>
    </row>
    <row r="200" spans="1:10">
      <c r="A200" s="341"/>
      <c r="B200" s="330" t="s">
        <v>657</v>
      </c>
      <c r="C200" s="330">
        <f>0</f>
        <v>0</v>
      </c>
      <c r="D200" s="387">
        <f t="shared" ref="D200" si="99">C203</f>
        <v>20.166666666666668</v>
      </c>
      <c r="E200" s="387">
        <f t="shared" ref="E200" si="100">D203</f>
        <v>40.333333333333336</v>
      </c>
      <c r="F200" s="387">
        <f t="shared" ref="F200" si="101">E203</f>
        <v>60.5</v>
      </c>
      <c r="G200" s="387">
        <f t="shared" ref="G200" si="102">F203</f>
        <v>80.666666666666671</v>
      </c>
      <c r="H200" s="387">
        <f t="shared" ref="H200" si="103">G203</f>
        <v>100.83333333333334</v>
      </c>
      <c r="I200" s="387">
        <f t="shared" ref="I200" si="104">H203</f>
        <v>122.41666666666667</v>
      </c>
    </row>
    <row r="201" spans="1:10">
      <c r="A201" s="341"/>
      <c r="B201" s="330" t="s">
        <v>658</v>
      </c>
      <c r="C201" s="389">
        <f t="shared" ref="C201:I201" si="105">+B42</f>
        <v>484</v>
      </c>
      <c r="D201" s="389">
        <f t="shared" si="105"/>
        <v>484</v>
      </c>
      <c r="E201" s="389">
        <f t="shared" si="105"/>
        <v>484</v>
      </c>
      <c r="F201" s="389">
        <f t="shared" si="105"/>
        <v>484</v>
      </c>
      <c r="G201" s="389">
        <f t="shared" si="105"/>
        <v>484</v>
      </c>
      <c r="H201" s="389">
        <f t="shared" si="105"/>
        <v>518</v>
      </c>
      <c r="I201" s="389">
        <f t="shared" si="105"/>
        <v>553</v>
      </c>
    </row>
    <row r="202" spans="1:10">
      <c r="A202" s="341"/>
      <c r="B202" s="330" t="s">
        <v>659</v>
      </c>
      <c r="C202" s="337">
        <f t="shared" ref="C202:I202" si="106">C200+C201-C203</f>
        <v>463.83333333333331</v>
      </c>
      <c r="D202" s="337">
        <f t="shared" si="106"/>
        <v>463.83333333333337</v>
      </c>
      <c r="E202" s="337">
        <f t="shared" si="106"/>
        <v>463.83333333333337</v>
      </c>
      <c r="F202" s="337">
        <f t="shared" si="106"/>
        <v>463.83333333333331</v>
      </c>
      <c r="G202" s="337">
        <f t="shared" si="106"/>
        <v>463.83333333333326</v>
      </c>
      <c r="H202" s="337">
        <f t="shared" si="106"/>
        <v>496.41666666666669</v>
      </c>
      <c r="I202" s="337">
        <f t="shared" si="106"/>
        <v>529.95833333333326</v>
      </c>
    </row>
    <row r="203" spans="1:10">
      <c r="A203" s="341"/>
      <c r="B203" s="330" t="s">
        <v>333</v>
      </c>
      <c r="C203" s="387">
        <f>+(C200+C201/'Input Sheet'!$D$91)</f>
        <v>20.166666666666668</v>
      </c>
      <c r="D203" s="387">
        <f>+(D200+D201/'Input Sheet'!$D$91)</f>
        <v>40.333333333333336</v>
      </c>
      <c r="E203" s="387">
        <f>+(E200+E201/'Input Sheet'!$D$91)</f>
        <v>60.5</v>
      </c>
      <c r="F203" s="387">
        <f>+(F200+F201/'Input Sheet'!$D$91)</f>
        <v>80.666666666666671</v>
      </c>
      <c r="G203" s="387">
        <f>+(G200+G201/'Input Sheet'!$D$91)</f>
        <v>100.83333333333334</v>
      </c>
      <c r="H203" s="387">
        <f>+(H200+H201/'Input Sheet'!$D$91)</f>
        <v>122.41666666666667</v>
      </c>
      <c r="I203" s="387">
        <f>+(I200+I201/'Input Sheet'!$D$91)</f>
        <v>145.45833333333334</v>
      </c>
    </row>
    <row r="204" spans="1:10">
      <c r="A204" s="341"/>
      <c r="B204" s="330"/>
      <c r="C204" s="330"/>
      <c r="D204" s="387"/>
      <c r="E204" s="387"/>
      <c r="F204" s="387"/>
      <c r="G204" s="387"/>
      <c r="H204" s="387"/>
      <c r="I204" s="387"/>
    </row>
    <row r="205" spans="1:10">
      <c r="A205" s="341"/>
      <c r="B205" s="330"/>
      <c r="C205" s="330"/>
      <c r="D205" s="387"/>
      <c r="E205" s="387"/>
      <c r="F205" s="387"/>
      <c r="G205" s="387"/>
      <c r="H205" s="387"/>
      <c r="I205" s="387"/>
    </row>
    <row r="206" spans="1:10">
      <c r="A206" s="314"/>
      <c r="B206" s="314"/>
      <c r="C206" s="314"/>
      <c r="D206" s="342"/>
      <c r="E206" s="342"/>
      <c r="F206" s="342"/>
      <c r="G206" s="342"/>
      <c r="H206" s="342"/>
      <c r="I206" s="342"/>
    </row>
    <row r="207" spans="1:10">
      <c r="A207" s="336" t="s">
        <v>168</v>
      </c>
      <c r="B207" s="315" t="str">
        <f>+B138</f>
        <v>Grade II</v>
      </c>
      <c r="C207" s="315"/>
      <c r="D207" s="339"/>
      <c r="E207" s="339"/>
      <c r="F207" s="339"/>
      <c r="G207" s="339"/>
      <c r="H207" s="339"/>
      <c r="I207" s="339"/>
    </row>
    <row r="208" spans="1:10">
      <c r="A208" s="314"/>
      <c r="B208" s="330" t="s">
        <v>657</v>
      </c>
      <c r="C208" s="330">
        <f>0</f>
        <v>0</v>
      </c>
      <c r="D208" s="387">
        <f t="shared" ref="D208:I208" si="107">C211</f>
        <v>11.75</v>
      </c>
      <c r="E208" s="387">
        <f t="shared" si="107"/>
        <v>23.5</v>
      </c>
      <c r="F208" s="387">
        <f t="shared" si="107"/>
        <v>35.25</v>
      </c>
      <c r="G208" s="387">
        <f t="shared" si="107"/>
        <v>47</v>
      </c>
      <c r="H208" s="387">
        <f t="shared" si="107"/>
        <v>58.75</v>
      </c>
      <c r="I208" s="387">
        <f t="shared" si="107"/>
        <v>71.333333333333329</v>
      </c>
    </row>
    <row r="209" spans="1:9">
      <c r="A209" s="314"/>
      <c r="B209" s="330" t="s">
        <v>658</v>
      </c>
      <c r="C209" s="639">
        <f t="shared" ref="C209:I209" si="108">+B43</f>
        <v>282</v>
      </c>
      <c r="D209" s="639">
        <f t="shared" si="108"/>
        <v>282</v>
      </c>
      <c r="E209" s="639">
        <f t="shared" si="108"/>
        <v>282</v>
      </c>
      <c r="F209" s="639">
        <f t="shared" si="108"/>
        <v>282</v>
      </c>
      <c r="G209" s="639">
        <f t="shared" si="108"/>
        <v>282</v>
      </c>
      <c r="H209" s="639">
        <f t="shared" si="108"/>
        <v>302</v>
      </c>
      <c r="I209" s="639">
        <f t="shared" si="108"/>
        <v>323</v>
      </c>
    </row>
    <row r="210" spans="1:9">
      <c r="A210" s="314"/>
      <c r="B210" s="330" t="s">
        <v>659</v>
      </c>
      <c r="C210" s="330">
        <f t="shared" ref="C210:I210" si="109">C208+C209-C211</f>
        <v>270.25</v>
      </c>
      <c r="D210" s="387">
        <f t="shared" si="109"/>
        <v>270.25</v>
      </c>
      <c r="E210" s="387">
        <f t="shared" si="109"/>
        <v>270.25</v>
      </c>
      <c r="F210" s="387">
        <f t="shared" si="109"/>
        <v>270.25</v>
      </c>
      <c r="G210" s="387">
        <f t="shared" si="109"/>
        <v>270.25</v>
      </c>
      <c r="H210" s="387">
        <f t="shared" si="109"/>
        <v>289.41666666666669</v>
      </c>
      <c r="I210" s="387">
        <f t="shared" si="109"/>
        <v>309.54166666666663</v>
      </c>
    </row>
    <row r="211" spans="1:9">
      <c r="A211" s="314"/>
      <c r="B211" s="330" t="s">
        <v>333</v>
      </c>
      <c r="C211" s="387">
        <f>+(C208+C209/'Input Sheet'!$D$91)</f>
        <v>11.75</v>
      </c>
      <c r="D211" s="387">
        <f>+(D208+D209/'Input Sheet'!$D$91)</f>
        <v>23.5</v>
      </c>
      <c r="E211" s="387">
        <f>+(E208+E209/'Input Sheet'!$D$91)</f>
        <v>35.25</v>
      </c>
      <c r="F211" s="387">
        <f>+(F208+F209/'Input Sheet'!$D$91)</f>
        <v>47</v>
      </c>
      <c r="G211" s="387">
        <f>+(G208+G209/'Input Sheet'!$D$91)</f>
        <v>58.75</v>
      </c>
      <c r="H211" s="387">
        <f>+(H208+H209/'Input Sheet'!$D$91)</f>
        <v>71.333333333333329</v>
      </c>
      <c r="I211" s="387">
        <f>+(I208+I209/'Input Sheet'!$D$91)</f>
        <v>84.791666666666657</v>
      </c>
    </row>
    <row r="212" spans="1:9">
      <c r="A212" s="314"/>
      <c r="B212" s="314"/>
      <c r="C212" s="314"/>
      <c r="D212" s="342"/>
      <c r="E212" s="342"/>
      <c r="F212" s="342"/>
      <c r="G212" s="342"/>
      <c r="H212" s="342"/>
      <c r="I212" s="342"/>
    </row>
    <row r="213" spans="1:9" hidden="1">
      <c r="A213" s="336" t="s">
        <v>169</v>
      </c>
      <c r="B213" s="340" t="str">
        <f>+B142</f>
        <v>Waste</v>
      </c>
      <c r="C213" s="315"/>
      <c r="D213" s="339"/>
      <c r="E213" s="339"/>
      <c r="F213" s="339"/>
      <c r="G213" s="339"/>
      <c r="H213" s="339"/>
      <c r="I213" s="339"/>
    </row>
    <row r="214" spans="1:9" hidden="1">
      <c r="A214" s="314"/>
      <c r="B214" s="330" t="s">
        <v>657</v>
      </c>
      <c r="C214" s="330">
        <f>0</f>
        <v>0</v>
      </c>
      <c r="D214" s="387">
        <f t="shared" ref="D214:I214" si="110">C217</f>
        <v>0</v>
      </c>
      <c r="E214" s="387">
        <f t="shared" si="110"/>
        <v>0</v>
      </c>
      <c r="F214" s="387">
        <f t="shared" si="110"/>
        <v>0</v>
      </c>
      <c r="G214" s="387">
        <f t="shared" si="110"/>
        <v>0</v>
      </c>
      <c r="H214" s="387">
        <f t="shared" si="110"/>
        <v>0</v>
      </c>
      <c r="I214" s="387">
        <f t="shared" si="110"/>
        <v>0</v>
      </c>
    </row>
    <row r="215" spans="1:9" hidden="1">
      <c r="A215" s="314"/>
      <c r="B215" s="330" t="s">
        <v>658</v>
      </c>
      <c r="C215" s="331">
        <v>0</v>
      </c>
      <c r="D215" s="331">
        <v>0</v>
      </c>
      <c r="E215" s="331">
        <v>0</v>
      </c>
      <c r="F215" s="331">
        <v>0</v>
      </c>
      <c r="G215" s="331">
        <v>0</v>
      </c>
      <c r="H215" s="331">
        <v>0</v>
      </c>
      <c r="I215" s="331">
        <v>0</v>
      </c>
    </row>
    <row r="216" spans="1:9" hidden="1">
      <c r="A216" s="314"/>
      <c r="B216" s="330" t="s">
        <v>659</v>
      </c>
      <c r="C216" s="330">
        <f t="shared" ref="C216:I216" si="111">C214+C215-C217</f>
        <v>0</v>
      </c>
      <c r="D216" s="387">
        <f t="shared" si="111"/>
        <v>0</v>
      </c>
      <c r="E216" s="387">
        <f t="shared" si="111"/>
        <v>0</v>
      </c>
      <c r="F216" s="387">
        <f t="shared" si="111"/>
        <v>0</v>
      </c>
      <c r="G216" s="387">
        <f t="shared" si="111"/>
        <v>0</v>
      </c>
      <c r="H216" s="387">
        <f t="shared" si="111"/>
        <v>0</v>
      </c>
      <c r="I216" s="387">
        <f t="shared" si="111"/>
        <v>0</v>
      </c>
    </row>
    <row r="217" spans="1:9" hidden="1">
      <c r="A217" s="314"/>
      <c r="B217" s="330" t="s">
        <v>333</v>
      </c>
      <c r="C217" s="330">
        <v>0</v>
      </c>
      <c r="D217" s="387">
        <v>0</v>
      </c>
      <c r="E217" s="387">
        <v>0</v>
      </c>
      <c r="F217" s="387">
        <v>0</v>
      </c>
      <c r="G217" s="387">
        <v>0</v>
      </c>
      <c r="H217" s="387">
        <v>0</v>
      </c>
      <c r="I217" s="387">
        <v>0</v>
      </c>
    </row>
    <row r="218" spans="1:9">
      <c r="A218" s="314"/>
      <c r="B218" s="330"/>
      <c r="C218" s="330"/>
      <c r="D218" s="387"/>
      <c r="E218" s="387"/>
      <c r="F218" s="387"/>
      <c r="G218" s="387"/>
      <c r="H218" s="387"/>
      <c r="I218" s="387"/>
    </row>
    <row r="219" spans="1:9">
      <c r="A219" s="314"/>
      <c r="B219" s="314"/>
      <c r="C219" s="314"/>
      <c r="D219" s="342"/>
      <c r="E219" s="342"/>
      <c r="F219" s="342"/>
      <c r="G219" s="342"/>
      <c r="H219" s="342"/>
      <c r="I219" s="342"/>
    </row>
    <row r="220" spans="1:9">
      <c r="A220" s="314"/>
      <c r="B220" s="313" t="s">
        <v>660</v>
      </c>
      <c r="C220" s="330"/>
      <c r="D220" s="342"/>
      <c r="E220" s="342"/>
      <c r="F220" s="342"/>
      <c r="G220" s="342"/>
      <c r="H220" s="342"/>
      <c r="I220" s="342"/>
    </row>
    <row r="221" spans="1:9">
      <c r="A221" s="341" t="s">
        <v>167</v>
      </c>
      <c r="B221" s="326" t="str">
        <f>+B199</f>
        <v>Grade I</v>
      </c>
      <c r="C221" s="579">
        <f>+'Input Sheet'!C109</f>
        <v>55000</v>
      </c>
      <c r="D221" s="579">
        <f>+'Input Sheet'!D109</f>
        <v>57750</v>
      </c>
      <c r="E221" s="579">
        <f>+'Input Sheet'!E109</f>
        <v>60640</v>
      </c>
      <c r="F221" s="579">
        <f>+'Input Sheet'!F109</f>
        <v>63670</v>
      </c>
      <c r="G221" s="579">
        <f>+'Input Sheet'!G109</f>
        <v>66850</v>
      </c>
      <c r="H221" s="579">
        <f>+'Input Sheet'!H109</f>
        <v>70190</v>
      </c>
      <c r="I221" s="579">
        <f>+'Input Sheet'!I109</f>
        <v>73700</v>
      </c>
    </row>
    <row r="222" spans="1:9">
      <c r="A222" s="341" t="s">
        <v>168</v>
      </c>
      <c r="B222" s="326" t="str">
        <f>B207</f>
        <v>Grade II</v>
      </c>
      <c r="C222" s="579">
        <f>+'Input Sheet'!C110</f>
        <v>47500</v>
      </c>
      <c r="D222" s="579">
        <f>+'Input Sheet'!D110</f>
        <v>49880</v>
      </c>
      <c r="E222" s="579">
        <f>+'Input Sheet'!E110</f>
        <v>52370</v>
      </c>
      <c r="F222" s="579">
        <f>+'Input Sheet'!F110</f>
        <v>54990</v>
      </c>
      <c r="G222" s="579">
        <f>+'Input Sheet'!G110</f>
        <v>57740</v>
      </c>
      <c r="H222" s="579">
        <f>+'Input Sheet'!H110</f>
        <v>60630</v>
      </c>
      <c r="I222" s="579">
        <f>+'Input Sheet'!I110</f>
        <v>63660</v>
      </c>
    </row>
    <row r="223" spans="1:9">
      <c r="A223" s="341" t="s">
        <v>169</v>
      </c>
      <c r="B223" s="326" t="str">
        <f>B213</f>
        <v>Waste</v>
      </c>
      <c r="C223" s="579">
        <f>+'Input Sheet'!C111</f>
        <v>0</v>
      </c>
      <c r="D223" s="579">
        <f>+'Input Sheet'!D111</f>
        <v>0</v>
      </c>
      <c r="E223" s="579">
        <f>+'Input Sheet'!E111</f>
        <v>0</v>
      </c>
      <c r="F223" s="579">
        <f>+'Input Sheet'!F111</f>
        <v>0</v>
      </c>
      <c r="G223" s="579">
        <f>+'Input Sheet'!G111</f>
        <v>0</v>
      </c>
      <c r="H223" s="579">
        <f>+'Input Sheet'!H111</f>
        <v>0</v>
      </c>
      <c r="I223" s="579">
        <f>+'Input Sheet'!I111</f>
        <v>0</v>
      </c>
    </row>
    <row r="224" spans="1:9">
      <c r="A224" s="314"/>
      <c r="B224" s="314"/>
      <c r="C224" s="314"/>
      <c r="D224" s="342"/>
      <c r="E224" s="342"/>
      <c r="F224" s="342"/>
      <c r="G224" s="342"/>
      <c r="H224" s="342"/>
      <c r="I224" s="342"/>
    </row>
    <row r="225" spans="1:9">
      <c r="A225" s="315" t="s">
        <v>167</v>
      </c>
      <c r="B225" s="623" t="str">
        <f>B221</f>
        <v>Grade I</v>
      </c>
      <c r="C225" s="314"/>
      <c r="D225" s="342"/>
      <c r="E225" s="342"/>
      <c r="F225" s="342"/>
      <c r="G225" s="342"/>
      <c r="H225" s="342"/>
      <c r="I225" s="342"/>
    </row>
    <row r="226" spans="1:9">
      <c r="A226" s="314"/>
      <c r="B226" s="330" t="s">
        <v>661</v>
      </c>
      <c r="C226" s="337">
        <v>0</v>
      </c>
      <c r="D226" s="425">
        <f t="shared" ref="D226:I226" si="112">C227</f>
        <v>11.091666666666667</v>
      </c>
      <c r="E226" s="425">
        <f t="shared" si="112"/>
        <v>23.2925</v>
      </c>
      <c r="F226" s="425">
        <f t="shared" si="112"/>
        <v>36.687199999999997</v>
      </c>
      <c r="G226" s="425">
        <f t="shared" si="112"/>
        <v>51.360466666666667</v>
      </c>
      <c r="H226" s="425">
        <f t="shared" si="112"/>
        <v>67.407083333333333</v>
      </c>
      <c r="I226" s="425">
        <f t="shared" si="112"/>
        <v>85.924258333333341</v>
      </c>
    </row>
    <row r="227" spans="1:9">
      <c r="A227" s="314"/>
      <c r="B227" s="330" t="s">
        <v>662</v>
      </c>
      <c r="C227" s="337">
        <f>+C203*C221/100000</f>
        <v>11.091666666666667</v>
      </c>
      <c r="D227" s="337">
        <f t="shared" ref="D227:I227" si="113">+D203*D221/100000</f>
        <v>23.2925</v>
      </c>
      <c r="E227" s="337">
        <f t="shared" si="113"/>
        <v>36.687199999999997</v>
      </c>
      <c r="F227" s="337">
        <f t="shared" si="113"/>
        <v>51.360466666666667</v>
      </c>
      <c r="G227" s="337">
        <f t="shared" si="113"/>
        <v>67.407083333333333</v>
      </c>
      <c r="H227" s="337">
        <f t="shared" si="113"/>
        <v>85.924258333333341</v>
      </c>
      <c r="I227" s="337">
        <f t="shared" si="113"/>
        <v>107.20279166666668</v>
      </c>
    </row>
    <row r="228" spans="1:9">
      <c r="A228" s="314"/>
      <c r="B228" s="314"/>
      <c r="C228" s="314"/>
      <c r="D228" s="342"/>
      <c r="E228" s="342"/>
      <c r="F228" s="342"/>
      <c r="G228" s="342"/>
      <c r="H228" s="342"/>
      <c r="I228" s="342"/>
    </row>
    <row r="229" spans="1:9">
      <c r="A229" s="315" t="s">
        <v>168</v>
      </c>
      <c r="B229" s="315" t="str">
        <f>B207</f>
        <v>Grade II</v>
      </c>
      <c r="C229" s="314"/>
      <c r="D229" s="342"/>
      <c r="E229" s="342"/>
      <c r="F229" s="342"/>
      <c r="G229" s="342"/>
      <c r="H229" s="342"/>
      <c r="I229" s="342"/>
    </row>
    <row r="230" spans="1:9">
      <c r="A230" s="314"/>
      <c r="B230" s="330" t="s">
        <v>661</v>
      </c>
      <c r="C230" s="337">
        <v>0</v>
      </c>
      <c r="D230" s="425">
        <f t="shared" ref="D230:I230" si="114">C231</f>
        <v>5.5812499999999998</v>
      </c>
      <c r="E230" s="425">
        <f t="shared" si="114"/>
        <v>11.7218</v>
      </c>
      <c r="F230" s="425">
        <f t="shared" si="114"/>
        <v>18.460425000000001</v>
      </c>
      <c r="G230" s="425">
        <f t="shared" si="114"/>
        <v>25.845300000000002</v>
      </c>
      <c r="H230" s="425">
        <f t="shared" si="114"/>
        <v>33.922249999999998</v>
      </c>
      <c r="I230" s="425">
        <f t="shared" si="114"/>
        <v>43.249400000000001</v>
      </c>
    </row>
    <row r="231" spans="1:9">
      <c r="A231" s="314"/>
      <c r="B231" s="330" t="s">
        <v>662</v>
      </c>
      <c r="C231" s="337">
        <f t="shared" ref="C231:I231" si="115">C222*C211/100000</f>
        <v>5.5812499999999998</v>
      </c>
      <c r="D231" s="425">
        <f t="shared" si="115"/>
        <v>11.7218</v>
      </c>
      <c r="E231" s="425">
        <f t="shared" si="115"/>
        <v>18.460425000000001</v>
      </c>
      <c r="F231" s="425">
        <f t="shared" si="115"/>
        <v>25.845300000000002</v>
      </c>
      <c r="G231" s="425">
        <f t="shared" si="115"/>
        <v>33.922249999999998</v>
      </c>
      <c r="H231" s="425">
        <f t="shared" si="115"/>
        <v>43.249400000000001</v>
      </c>
      <c r="I231" s="425">
        <f t="shared" si="115"/>
        <v>53.978374999999993</v>
      </c>
    </row>
    <row r="232" spans="1:9">
      <c r="A232" s="314"/>
      <c r="B232" s="314"/>
      <c r="C232" s="314"/>
      <c r="D232" s="342"/>
      <c r="E232" s="342"/>
      <c r="F232" s="342"/>
      <c r="G232" s="342"/>
      <c r="H232" s="342"/>
      <c r="I232" s="342"/>
    </row>
    <row r="233" spans="1:9" hidden="1">
      <c r="A233" s="315" t="s">
        <v>169</v>
      </c>
      <c r="B233" s="315" t="str">
        <f>B213</f>
        <v>Waste</v>
      </c>
      <c r="C233" s="314"/>
      <c r="D233" s="342"/>
      <c r="E233" s="342"/>
      <c r="F233" s="342"/>
      <c r="G233" s="342"/>
      <c r="H233" s="342"/>
      <c r="I233" s="342"/>
    </row>
    <row r="234" spans="1:9" hidden="1">
      <c r="A234" s="314"/>
      <c r="B234" s="330" t="s">
        <v>661</v>
      </c>
      <c r="C234" s="337">
        <v>0</v>
      </c>
      <c r="D234" s="425">
        <f t="shared" ref="D234:I234" si="116">C235</f>
        <v>0</v>
      </c>
      <c r="E234" s="425">
        <f t="shared" si="116"/>
        <v>0</v>
      </c>
      <c r="F234" s="425">
        <f t="shared" si="116"/>
        <v>0</v>
      </c>
      <c r="G234" s="425">
        <f t="shared" si="116"/>
        <v>0</v>
      </c>
      <c r="H234" s="425">
        <f t="shared" si="116"/>
        <v>0</v>
      </c>
      <c r="I234" s="425">
        <f t="shared" si="116"/>
        <v>0</v>
      </c>
    </row>
    <row r="235" spans="1:9" hidden="1">
      <c r="A235" s="314"/>
      <c r="B235" s="330" t="s">
        <v>662</v>
      </c>
      <c r="C235" s="337">
        <f t="shared" ref="C235:I235" si="117">C223*C217/100000</f>
        <v>0</v>
      </c>
      <c r="D235" s="425">
        <f t="shared" si="117"/>
        <v>0</v>
      </c>
      <c r="E235" s="425">
        <f t="shared" si="117"/>
        <v>0</v>
      </c>
      <c r="F235" s="425">
        <f t="shared" si="117"/>
        <v>0</v>
      </c>
      <c r="G235" s="425">
        <f t="shared" si="117"/>
        <v>0</v>
      </c>
      <c r="H235" s="425">
        <f t="shared" si="117"/>
        <v>0</v>
      </c>
      <c r="I235" s="425">
        <f t="shared" si="117"/>
        <v>0</v>
      </c>
    </row>
    <row r="236" spans="1:9" hidden="1">
      <c r="A236" s="314"/>
      <c r="B236" s="330"/>
      <c r="C236" s="337"/>
      <c r="D236" s="425"/>
      <c r="E236" s="425"/>
      <c r="F236" s="425"/>
      <c r="G236" s="425"/>
      <c r="H236" s="425"/>
      <c r="I236" s="425"/>
    </row>
    <row r="237" spans="1:9">
      <c r="A237" s="314"/>
      <c r="B237" s="314"/>
      <c r="C237" s="314"/>
      <c r="D237" s="342"/>
      <c r="E237" s="342"/>
      <c r="F237" s="342"/>
      <c r="G237" s="342"/>
      <c r="H237" s="342"/>
      <c r="I237" s="342"/>
    </row>
    <row r="238" spans="1:9">
      <c r="A238" s="341"/>
      <c r="B238" s="622" t="str">
        <f>+'Input Sheet'!B81</f>
        <v>Finished Goods Soyabean (MT)</v>
      </c>
      <c r="C238" s="324"/>
      <c r="D238" s="416"/>
      <c r="E238" s="416"/>
      <c r="F238" s="416"/>
      <c r="G238" s="416"/>
      <c r="H238" s="416"/>
      <c r="I238" s="416"/>
    </row>
    <row r="239" spans="1:9">
      <c r="A239" s="336" t="s">
        <v>167</v>
      </c>
      <c r="B239" s="313" t="str">
        <f>+B148</f>
        <v>Grade I</v>
      </c>
      <c r="C239" s="330"/>
      <c r="D239" s="387"/>
      <c r="E239" s="387"/>
      <c r="F239" s="387"/>
      <c r="G239" s="387"/>
      <c r="H239" s="342"/>
      <c r="I239" s="342"/>
    </row>
    <row r="240" spans="1:9">
      <c r="A240" s="314"/>
      <c r="B240" s="330" t="str">
        <f>+$B$200</f>
        <v>Opn Stock</v>
      </c>
      <c r="C240" s="330">
        <f>0</f>
        <v>0</v>
      </c>
      <c r="D240" s="387">
        <f t="shared" ref="D240" si="118">C243</f>
        <v>20.166666666666668</v>
      </c>
      <c r="E240" s="387">
        <f t="shared" ref="E240" si="119">D243</f>
        <v>40.333333333333336</v>
      </c>
      <c r="F240" s="387">
        <f t="shared" ref="F240" si="120">E243</f>
        <v>60.5</v>
      </c>
      <c r="G240" s="387">
        <f t="shared" ref="G240" si="121">F243</f>
        <v>80.666666666666671</v>
      </c>
      <c r="H240" s="387">
        <f t="shared" ref="H240" si="122">G243</f>
        <v>100.83333333333334</v>
      </c>
      <c r="I240" s="387">
        <f t="shared" ref="I240" si="123">H243</f>
        <v>122.41666666666667</v>
      </c>
    </row>
    <row r="241" spans="1:9">
      <c r="A241" s="314"/>
      <c r="B241" s="330" t="str">
        <f>+$B$201</f>
        <v>Total Production</v>
      </c>
      <c r="C241" s="392">
        <f t="shared" ref="C241:I241" si="124">+B47</f>
        <v>484</v>
      </c>
      <c r="D241" s="392">
        <f t="shared" si="124"/>
        <v>484</v>
      </c>
      <c r="E241" s="392">
        <f t="shared" si="124"/>
        <v>484</v>
      </c>
      <c r="F241" s="392">
        <f t="shared" si="124"/>
        <v>484</v>
      </c>
      <c r="G241" s="392">
        <f t="shared" si="124"/>
        <v>484</v>
      </c>
      <c r="H241" s="392">
        <f t="shared" si="124"/>
        <v>518</v>
      </c>
      <c r="I241" s="392">
        <f t="shared" si="124"/>
        <v>553</v>
      </c>
    </row>
    <row r="242" spans="1:9" s="618" customFormat="1">
      <c r="A242" s="358"/>
      <c r="B242" s="337" t="str">
        <f>+$B$202</f>
        <v>Sales</v>
      </c>
      <c r="C242" s="337">
        <f t="shared" ref="C242:I242" si="125">C240+C241-C243</f>
        <v>463.83333333333331</v>
      </c>
      <c r="D242" s="337">
        <f t="shared" si="125"/>
        <v>463.83333333333337</v>
      </c>
      <c r="E242" s="337">
        <f t="shared" si="125"/>
        <v>463.83333333333337</v>
      </c>
      <c r="F242" s="337">
        <f t="shared" si="125"/>
        <v>463.83333333333331</v>
      </c>
      <c r="G242" s="337">
        <f t="shared" si="125"/>
        <v>463.83333333333326</v>
      </c>
      <c r="H242" s="337">
        <f t="shared" si="125"/>
        <v>496.41666666666669</v>
      </c>
      <c r="I242" s="337">
        <f t="shared" si="125"/>
        <v>529.95833333333326</v>
      </c>
    </row>
    <row r="243" spans="1:9">
      <c r="A243" s="314"/>
      <c r="B243" s="330" t="str">
        <f>+$B$203</f>
        <v>Closing Stock</v>
      </c>
      <c r="C243" s="387">
        <f>+(C240+C241/'Input Sheet'!$D$91)</f>
        <v>20.166666666666668</v>
      </c>
      <c r="D243" s="387">
        <f>+(D240+D241/'Input Sheet'!$D$91)</f>
        <v>40.333333333333336</v>
      </c>
      <c r="E243" s="387">
        <f>+(E240+E241/'Input Sheet'!$D$91)</f>
        <v>60.5</v>
      </c>
      <c r="F243" s="387">
        <f>+(F240+F241/'Input Sheet'!$D$91)</f>
        <v>80.666666666666671</v>
      </c>
      <c r="G243" s="387">
        <f>+(G240+G241/'Input Sheet'!$D$91)</f>
        <v>100.83333333333334</v>
      </c>
      <c r="H243" s="387">
        <f>+(H240+H241/'Input Sheet'!$D$91)</f>
        <v>122.41666666666667</v>
      </c>
      <c r="I243" s="387">
        <f>+(I240+I241/'Input Sheet'!$D$91)</f>
        <v>145.45833333333334</v>
      </c>
    </row>
    <row r="244" spans="1:9">
      <c r="A244" s="314"/>
      <c r="B244" s="314"/>
      <c r="C244" s="314"/>
      <c r="D244" s="342"/>
      <c r="E244" s="342"/>
      <c r="F244" s="342"/>
      <c r="G244" s="342"/>
      <c r="H244" s="342"/>
      <c r="I244" s="342"/>
    </row>
    <row r="245" spans="1:9">
      <c r="A245" s="336" t="s">
        <v>168</v>
      </c>
      <c r="B245" s="315" t="str">
        <f>+B153</f>
        <v>Grade II</v>
      </c>
      <c r="C245" s="315"/>
      <c r="D245" s="339"/>
      <c r="E245" s="339"/>
      <c r="F245" s="339"/>
      <c r="G245" s="339"/>
      <c r="H245" s="339"/>
      <c r="I245" s="339"/>
    </row>
    <row r="246" spans="1:9">
      <c r="A246" s="314"/>
      <c r="B246" s="330" t="s">
        <v>657</v>
      </c>
      <c r="C246" s="330">
        <f>0</f>
        <v>0</v>
      </c>
      <c r="D246" s="387">
        <f t="shared" ref="D246:I246" si="126">C249</f>
        <v>11.75</v>
      </c>
      <c r="E246" s="387">
        <f t="shared" si="126"/>
        <v>23.5</v>
      </c>
      <c r="F246" s="387">
        <f t="shared" si="126"/>
        <v>35.25</v>
      </c>
      <c r="G246" s="387">
        <f t="shared" si="126"/>
        <v>47</v>
      </c>
      <c r="H246" s="387">
        <f t="shared" si="126"/>
        <v>58.75</v>
      </c>
      <c r="I246" s="387">
        <f t="shared" si="126"/>
        <v>71.333333333333329</v>
      </c>
    </row>
    <row r="247" spans="1:9">
      <c r="A247" s="314"/>
      <c r="B247" s="330" t="s">
        <v>658</v>
      </c>
      <c r="C247" s="337">
        <f t="shared" ref="C247:I247" si="127">+B48</f>
        <v>282</v>
      </c>
      <c r="D247" s="337">
        <f t="shared" si="127"/>
        <v>282</v>
      </c>
      <c r="E247" s="337">
        <f t="shared" si="127"/>
        <v>282</v>
      </c>
      <c r="F247" s="337">
        <f t="shared" si="127"/>
        <v>282</v>
      </c>
      <c r="G247" s="337">
        <f t="shared" si="127"/>
        <v>282</v>
      </c>
      <c r="H247" s="337">
        <f t="shared" si="127"/>
        <v>302</v>
      </c>
      <c r="I247" s="337">
        <f t="shared" si="127"/>
        <v>323</v>
      </c>
    </row>
    <row r="248" spans="1:9">
      <c r="A248" s="314"/>
      <c r="B248" s="330" t="s">
        <v>659</v>
      </c>
      <c r="C248" s="337">
        <f t="shared" ref="C248:I248" si="128">C246+C247-C249</f>
        <v>270.25</v>
      </c>
      <c r="D248" s="337">
        <f t="shared" si="128"/>
        <v>270.25</v>
      </c>
      <c r="E248" s="337">
        <f t="shared" si="128"/>
        <v>270.25</v>
      </c>
      <c r="F248" s="337">
        <f t="shared" si="128"/>
        <v>270.25</v>
      </c>
      <c r="G248" s="337">
        <f t="shared" si="128"/>
        <v>270.25</v>
      </c>
      <c r="H248" s="337">
        <f t="shared" si="128"/>
        <v>289.41666666666669</v>
      </c>
      <c r="I248" s="337">
        <f t="shared" si="128"/>
        <v>309.54166666666663</v>
      </c>
    </row>
    <row r="249" spans="1:9">
      <c r="A249" s="314"/>
      <c r="B249" s="330" t="s">
        <v>333</v>
      </c>
      <c r="C249" s="337">
        <f>+(C246+C247/'Input Sheet'!$D$91)</f>
        <v>11.75</v>
      </c>
      <c r="D249" s="337">
        <f>+(D246+D247/'Input Sheet'!$D$91)</f>
        <v>23.5</v>
      </c>
      <c r="E249" s="337">
        <f>+(E246+E247/'Input Sheet'!$D$91)</f>
        <v>35.25</v>
      </c>
      <c r="F249" s="337">
        <f>+(F246+F247/'Input Sheet'!$D$91)</f>
        <v>47</v>
      </c>
      <c r="G249" s="337">
        <f>+(G246+G247/'Input Sheet'!$D$91)</f>
        <v>58.75</v>
      </c>
      <c r="H249" s="337">
        <f>+(H246+H247/'Input Sheet'!$D$91)</f>
        <v>71.333333333333329</v>
      </c>
      <c r="I249" s="337">
        <f>+(I246+I247/'Input Sheet'!$D$91)</f>
        <v>84.791666666666657</v>
      </c>
    </row>
    <row r="250" spans="1:9">
      <c r="A250" s="314"/>
      <c r="B250" s="314"/>
      <c r="C250" s="314"/>
      <c r="D250" s="342"/>
      <c r="E250" s="342"/>
      <c r="F250" s="342"/>
      <c r="G250" s="342"/>
      <c r="H250" s="342"/>
      <c r="I250" s="342"/>
    </row>
    <row r="251" spans="1:9">
      <c r="A251" s="314"/>
      <c r="B251" s="314"/>
      <c r="C251" s="314"/>
      <c r="D251" s="342"/>
      <c r="E251" s="342"/>
      <c r="F251" s="342"/>
      <c r="G251" s="342"/>
      <c r="H251" s="342"/>
      <c r="I251" s="342"/>
    </row>
    <row r="252" spans="1:9">
      <c r="A252" s="314"/>
      <c r="B252" s="313" t="s">
        <v>660</v>
      </c>
      <c r="C252" s="330"/>
      <c r="D252" s="342"/>
      <c r="E252" s="342"/>
      <c r="F252" s="342"/>
      <c r="G252" s="342"/>
      <c r="H252" s="342"/>
      <c r="I252" s="342"/>
    </row>
    <row r="253" spans="1:9">
      <c r="A253" s="341" t="s">
        <v>167</v>
      </c>
      <c r="B253" s="326" t="str">
        <f>+B239</f>
        <v>Grade I</v>
      </c>
      <c r="C253" s="579">
        <f>+'Input Sheet'!C116</f>
        <v>70900</v>
      </c>
      <c r="D253" s="579">
        <f>+'Input Sheet'!D116</f>
        <v>74450</v>
      </c>
      <c r="E253" s="579">
        <f>+'Input Sheet'!E116</f>
        <v>78170</v>
      </c>
      <c r="F253" s="579">
        <f>+'Input Sheet'!F116</f>
        <v>82080</v>
      </c>
      <c r="G253" s="579">
        <f>+'Input Sheet'!G116</f>
        <v>86180</v>
      </c>
      <c r="H253" s="579">
        <f>+'Input Sheet'!H116</f>
        <v>90490</v>
      </c>
      <c r="I253" s="579">
        <f>+'Input Sheet'!I116</f>
        <v>95010</v>
      </c>
    </row>
    <row r="254" spans="1:9">
      <c r="A254" s="341" t="s">
        <v>168</v>
      </c>
      <c r="B254" s="326" t="str">
        <f>B245</f>
        <v>Grade II</v>
      </c>
      <c r="C254" s="512">
        <f>+'Input Sheet'!C117</f>
        <v>57500</v>
      </c>
      <c r="D254" s="513">
        <f t="shared" ref="D254:I254" si="129">ROUND(C254*1.05,-1)</f>
        <v>60380</v>
      </c>
      <c r="E254" s="513">
        <f t="shared" si="129"/>
        <v>63400</v>
      </c>
      <c r="F254" s="513">
        <f t="shared" si="129"/>
        <v>66570</v>
      </c>
      <c r="G254" s="513">
        <f t="shared" si="129"/>
        <v>69900</v>
      </c>
      <c r="H254" s="513">
        <f t="shared" si="129"/>
        <v>73400</v>
      </c>
      <c r="I254" s="513">
        <f t="shared" si="129"/>
        <v>77070</v>
      </c>
    </row>
    <row r="255" spans="1:9">
      <c r="A255" s="314"/>
      <c r="B255" s="314"/>
      <c r="C255" s="314"/>
      <c r="D255" s="342"/>
      <c r="E255" s="342"/>
      <c r="F255" s="342"/>
      <c r="G255" s="342"/>
      <c r="H255" s="342"/>
      <c r="I255" s="342"/>
    </row>
    <row r="256" spans="1:9">
      <c r="A256" s="315" t="s">
        <v>167</v>
      </c>
      <c r="B256" s="623" t="str">
        <f>B253</f>
        <v>Grade I</v>
      </c>
      <c r="C256" s="314"/>
      <c r="D256" s="342"/>
      <c r="E256" s="342"/>
      <c r="F256" s="342"/>
      <c r="G256" s="342"/>
      <c r="H256" s="342"/>
      <c r="I256" s="342"/>
    </row>
    <row r="257" spans="1:9">
      <c r="A257" s="314"/>
      <c r="B257" s="330" t="s">
        <v>661</v>
      </c>
      <c r="C257" s="337">
        <v>0</v>
      </c>
      <c r="D257" s="425">
        <f t="shared" ref="D257:I257" si="130">C258</f>
        <v>14.298166666666667</v>
      </c>
      <c r="E257" s="425">
        <f t="shared" si="130"/>
        <v>30.028166666666671</v>
      </c>
      <c r="F257" s="425">
        <f t="shared" si="130"/>
        <v>47.292850000000001</v>
      </c>
      <c r="G257" s="425">
        <f t="shared" si="130"/>
        <v>66.211200000000005</v>
      </c>
      <c r="H257" s="425">
        <f t="shared" si="130"/>
        <v>86.898166666666683</v>
      </c>
      <c r="I257" s="425">
        <f t="shared" si="130"/>
        <v>110.77484166666667</v>
      </c>
    </row>
    <row r="258" spans="1:9">
      <c r="A258" s="314"/>
      <c r="B258" s="330" t="s">
        <v>662</v>
      </c>
      <c r="C258" s="337">
        <f>+C253*C243/100000</f>
        <v>14.298166666666667</v>
      </c>
      <c r="D258" s="337">
        <f t="shared" ref="D258:I258" si="131">+D253*D243/100000</f>
        <v>30.028166666666671</v>
      </c>
      <c r="E258" s="337">
        <f t="shared" si="131"/>
        <v>47.292850000000001</v>
      </c>
      <c r="F258" s="337">
        <f t="shared" si="131"/>
        <v>66.211200000000005</v>
      </c>
      <c r="G258" s="337">
        <f t="shared" si="131"/>
        <v>86.898166666666683</v>
      </c>
      <c r="H258" s="337">
        <f t="shared" si="131"/>
        <v>110.77484166666667</v>
      </c>
      <c r="I258" s="337">
        <f t="shared" si="131"/>
        <v>138.1999625</v>
      </c>
    </row>
    <row r="259" spans="1:9">
      <c r="A259" s="314"/>
      <c r="B259" s="314"/>
      <c r="C259" s="314"/>
      <c r="D259" s="342"/>
      <c r="E259" s="342"/>
      <c r="F259" s="342"/>
      <c r="G259" s="342"/>
      <c r="H259" s="342"/>
      <c r="I259" s="342"/>
    </row>
    <row r="260" spans="1:9">
      <c r="A260" s="315" t="s">
        <v>168</v>
      </c>
      <c r="B260" s="315" t="str">
        <f>B245</f>
        <v>Grade II</v>
      </c>
      <c r="C260" s="314"/>
      <c r="D260" s="342"/>
      <c r="E260" s="342"/>
      <c r="F260" s="342"/>
      <c r="G260" s="620"/>
      <c r="H260" s="342"/>
      <c r="I260" s="342"/>
    </row>
    <row r="261" spans="1:9">
      <c r="A261" s="314"/>
      <c r="B261" s="330" t="s">
        <v>661</v>
      </c>
      <c r="C261" s="337">
        <v>0</v>
      </c>
      <c r="D261" s="425">
        <f t="shared" ref="D261:I261" si="132">C262</f>
        <v>6.7562499999999996</v>
      </c>
      <c r="E261" s="425">
        <f t="shared" si="132"/>
        <v>14.189299999999999</v>
      </c>
      <c r="F261" s="425">
        <f t="shared" si="132"/>
        <v>22.348500000000001</v>
      </c>
      <c r="G261" s="425">
        <f t="shared" si="132"/>
        <v>31.2879</v>
      </c>
      <c r="H261" s="425">
        <f t="shared" si="132"/>
        <v>41.066249999999997</v>
      </c>
      <c r="I261" s="425">
        <f t="shared" si="132"/>
        <v>52.358666666666657</v>
      </c>
    </row>
    <row r="262" spans="1:9">
      <c r="A262" s="314"/>
      <c r="B262" s="330" t="s">
        <v>662</v>
      </c>
      <c r="C262" s="337">
        <f t="shared" ref="C262:I262" si="133">C254*C249/100000</f>
        <v>6.7562499999999996</v>
      </c>
      <c r="D262" s="425">
        <f t="shared" si="133"/>
        <v>14.189299999999999</v>
      </c>
      <c r="E262" s="425">
        <f t="shared" si="133"/>
        <v>22.348500000000001</v>
      </c>
      <c r="F262" s="425">
        <f t="shared" si="133"/>
        <v>31.2879</v>
      </c>
      <c r="G262" s="425">
        <f t="shared" si="133"/>
        <v>41.066249999999997</v>
      </c>
      <c r="H262" s="425">
        <f t="shared" si="133"/>
        <v>52.358666666666657</v>
      </c>
      <c r="I262" s="425">
        <f t="shared" si="133"/>
        <v>65.348937499999991</v>
      </c>
    </row>
    <row r="263" spans="1:9">
      <c r="A263" s="314"/>
      <c r="B263" s="314"/>
      <c r="C263" s="314"/>
      <c r="D263" s="342"/>
      <c r="E263" s="342"/>
      <c r="F263" s="342"/>
      <c r="G263" s="342"/>
      <c r="H263" s="342"/>
      <c r="I263" s="342"/>
    </row>
    <row r="264" spans="1:9" hidden="1">
      <c r="A264" s="341"/>
      <c r="B264" s="622" t="str">
        <f>+'Input Sheet'!B82</f>
        <v>Finished Goods  -Musterd (MT)</v>
      </c>
      <c r="C264" s="324"/>
      <c r="D264" s="416"/>
      <c r="E264" s="416"/>
      <c r="F264" s="416"/>
      <c r="G264" s="416"/>
      <c r="H264" s="416"/>
      <c r="I264" s="416"/>
    </row>
    <row r="265" spans="1:9" hidden="1">
      <c r="A265" s="336" t="s">
        <v>167</v>
      </c>
      <c r="B265" s="313" t="str">
        <f>+B158</f>
        <v>Grade I</v>
      </c>
      <c r="C265" s="330"/>
      <c r="D265" s="387"/>
      <c r="E265" s="387"/>
      <c r="F265" s="387"/>
      <c r="G265" s="387"/>
      <c r="H265" s="342"/>
      <c r="I265" s="342"/>
    </row>
    <row r="266" spans="1:9" hidden="1">
      <c r="A266" s="341"/>
      <c r="B266" s="330" t="str">
        <f>+$B$200</f>
        <v>Opn Stock</v>
      </c>
      <c r="C266" s="387">
        <v>0</v>
      </c>
      <c r="D266" s="387" t="e">
        <f t="shared" ref="D266" si="134">C269</f>
        <v>#REF!</v>
      </c>
      <c r="E266" s="387" t="e">
        <f t="shared" ref="E266" si="135">D269</f>
        <v>#REF!</v>
      </c>
      <c r="F266" s="387" t="e">
        <f t="shared" ref="F266" si="136">E269</f>
        <v>#REF!</v>
      </c>
      <c r="G266" s="387" t="e">
        <f t="shared" ref="G266" si="137">F269</f>
        <v>#REF!</v>
      </c>
      <c r="H266" s="387" t="e">
        <f t="shared" ref="H266" si="138">G269</f>
        <v>#REF!</v>
      </c>
      <c r="I266" s="387" t="e">
        <f t="shared" ref="I266" si="139">H269</f>
        <v>#REF!</v>
      </c>
    </row>
    <row r="267" spans="1:9" hidden="1">
      <c r="A267" s="341"/>
      <c r="B267" s="330" t="str">
        <f>+$B$201</f>
        <v>Total Production</v>
      </c>
      <c r="C267" s="387" t="e">
        <f>+#REF!</f>
        <v>#REF!</v>
      </c>
      <c r="D267" s="387" t="e">
        <f>+#REF!</f>
        <v>#REF!</v>
      </c>
      <c r="E267" s="387" t="e">
        <f>+#REF!</f>
        <v>#REF!</v>
      </c>
      <c r="F267" s="387" t="e">
        <f>+#REF!</f>
        <v>#REF!</v>
      </c>
      <c r="G267" s="387" t="e">
        <f>+#REF!</f>
        <v>#REF!</v>
      </c>
      <c r="H267" s="387" t="e">
        <f>+#REF!</f>
        <v>#REF!</v>
      </c>
      <c r="I267" s="387" t="e">
        <f>+#REF!</f>
        <v>#REF!</v>
      </c>
    </row>
    <row r="268" spans="1:9" s="1" customFormat="1" hidden="1">
      <c r="A268" s="619"/>
      <c r="B268" s="389" t="str">
        <f>+$B$202</f>
        <v>Sales</v>
      </c>
      <c r="C268" s="389" t="e">
        <f t="shared" ref="C268:I268" si="140">C266+C267-C269</f>
        <v>#REF!</v>
      </c>
      <c r="D268" s="389" t="e">
        <f t="shared" si="140"/>
        <v>#REF!</v>
      </c>
      <c r="E268" s="389" t="e">
        <f t="shared" si="140"/>
        <v>#REF!</v>
      </c>
      <c r="F268" s="389" t="e">
        <f t="shared" si="140"/>
        <v>#REF!</v>
      </c>
      <c r="G268" s="389" t="e">
        <f t="shared" si="140"/>
        <v>#REF!</v>
      </c>
      <c r="H268" s="389" t="e">
        <f t="shared" si="140"/>
        <v>#REF!</v>
      </c>
      <c r="I268" s="389" t="e">
        <f t="shared" si="140"/>
        <v>#REF!</v>
      </c>
    </row>
    <row r="269" spans="1:9" hidden="1">
      <c r="A269" s="341"/>
      <c r="B269" s="330" t="str">
        <f>+$B$203</f>
        <v>Closing Stock</v>
      </c>
      <c r="C269" s="387" t="e">
        <f>+(C266+C267/'Input Sheet'!$D$91)</f>
        <v>#REF!</v>
      </c>
      <c r="D269" s="387" t="e">
        <f>+(D266+D267/'Input Sheet'!$D$91)</f>
        <v>#REF!</v>
      </c>
      <c r="E269" s="387" t="e">
        <f>+(E266+E267/'Input Sheet'!$D$91)</f>
        <v>#REF!</v>
      </c>
      <c r="F269" s="387" t="e">
        <f>+(F266+F267/'Input Sheet'!$D$91)</f>
        <v>#REF!</v>
      </c>
      <c r="G269" s="387" t="e">
        <f>+(G266+G267/'Input Sheet'!$D$91)</f>
        <v>#REF!</v>
      </c>
      <c r="H269" s="387" t="e">
        <f>+(H266+H267/'Input Sheet'!$D$91)</f>
        <v>#REF!</v>
      </c>
      <c r="I269" s="387" t="e">
        <f>+(I266+I267/'Input Sheet'!$D$91)</f>
        <v>#REF!</v>
      </c>
    </row>
    <row r="270" spans="1:9" hidden="1">
      <c r="A270" s="314"/>
      <c r="B270" s="330"/>
      <c r="C270" s="387"/>
      <c r="D270" s="387"/>
      <c r="E270" s="387"/>
      <c r="F270" s="387"/>
      <c r="G270" s="387"/>
      <c r="H270" s="387"/>
      <c r="I270" s="387"/>
    </row>
    <row r="271" spans="1:9" hidden="1">
      <c r="A271" s="314"/>
      <c r="B271" s="315" t="str">
        <f>+A53</f>
        <v>Grade II</v>
      </c>
      <c r="C271" s="387"/>
      <c r="D271" s="387"/>
      <c r="E271" s="387"/>
      <c r="F271" s="387"/>
      <c r="G271" s="387"/>
      <c r="H271" s="387"/>
      <c r="I271" s="387"/>
    </row>
    <row r="272" spans="1:9" hidden="1">
      <c r="A272" s="314"/>
      <c r="B272" s="330" t="s">
        <v>657</v>
      </c>
      <c r="C272" s="387">
        <v>0</v>
      </c>
      <c r="D272" s="387">
        <f t="shared" ref="D272" si="141">C275</f>
        <v>0</v>
      </c>
      <c r="E272" s="387">
        <f t="shared" ref="E272" si="142">D275</f>
        <v>0</v>
      </c>
      <c r="F272" s="387">
        <f t="shared" ref="F272" si="143">E275</f>
        <v>0</v>
      </c>
      <c r="G272" s="387">
        <f t="shared" ref="G272" si="144">F275</f>
        <v>0</v>
      </c>
      <c r="H272" s="387">
        <f t="shared" ref="H272" si="145">G275</f>
        <v>0</v>
      </c>
      <c r="I272" s="387">
        <f t="shared" ref="I272" si="146">H275</f>
        <v>0</v>
      </c>
    </row>
    <row r="273" spans="1:9" hidden="1">
      <c r="A273" s="314"/>
      <c r="B273" s="330" t="s">
        <v>658</v>
      </c>
      <c r="C273" s="387">
        <f t="shared" ref="C273:I273" si="147">+B53+B29</f>
        <v>0</v>
      </c>
      <c r="D273" s="387">
        <f t="shared" si="147"/>
        <v>0</v>
      </c>
      <c r="E273" s="387">
        <f t="shared" si="147"/>
        <v>0</v>
      </c>
      <c r="F273" s="387">
        <f t="shared" si="147"/>
        <v>0</v>
      </c>
      <c r="G273" s="387">
        <f t="shared" si="147"/>
        <v>0</v>
      </c>
      <c r="H273" s="387">
        <f t="shared" si="147"/>
        <v>0</v>
      </c>
      <c r="I273" s="387">
        <f t="shared" si="147"/>
        <v>0</v>
      </c>
    </row>
    <row r="274" spans="1:9" hidden="1">
      <c r="A274" s="314"/>
      <c r="B274" s="330" t="s">
        <v>659</v>
      </c>
      <c r="C274" s="389">
        <f t="shared" ref="C274:I274" si="148">C272+C273-C275</f>
        <v>0</v>
      </c>
      <c r="D274" s="389">
        <f t="shared" si="148"/>
        <v>0</v>
      </c>
      <c r="E274" s="389">
        <f t="shared" si="148"/>
        <v>0</v>
      </c>
      <c r="F274" s="389">
        <f t="shared" si="148"/>
        <v>0</v>
      </c>
      <c r="G274" s="389">
        <f t="shared" si="148"/>
        <v>0</v>
      </c>
      <c r="H274" s="389">
        <f t="shared" si="148"/>
        <v>0</v>
      </c>
      <c r="I274" s="389">
        <f t="shared" si="148"/>
        <v>0</v>
      </c>
    </row>
    <row r="275" spans="1:9" hidden="1">
      <c r="A275" s="314"/>
      <c r="B275" s="330" t="s">
        <v>333</v>
      </c>
      <c r="C275" s="387">
        <v>0</v>
      </c>
      <c r="D275" s="387">
        <v>0</v>
      </c>
      <c r="E275" s="387">
        <v>0</v>
      </c>
      <c r="F275" s="387">
        <v>0</v>
      </c>
      <c r="G275" s="387">
        <v>0</v>
      </c>
      <c r="H275" s="387">
        <v>0</v>
      </c>
      <c r="I275" s="387">
        <v>0</v>
      </c>
    </row>
    <row r="276" spans="1:9" hidden="1">
      <c r="A276" s="314"/>
      <c r="B276" s="330"/>
      <c r="C276" s="387"/>
      <c r="D276" s="387"/>
      <c r="E276" s="387"/>
      <c r="F276" s="387"/>
      <c r="G276" s="387"/>
      <c r="H276" s="387"/>
      <c r="I276" s="387"/>
    </row>
    <row r="277" spans="1:9" hidden="1">
      <c r="A277" s="314"/>
      <c r="B277" s="330"/>
      <c r="C277" s="314"/>
      <c r="D277" s="342"/>
      <c r="E277" s="342"/>
      <c r="F277" s="342"/>
      <c r="G277" s="342"/>
      <c r="H277" s="342"/>
      <c r="I277" s="342"/>
    </row>
    <row r="278" spans="1:9" hidden="1">
      <c r="A278" s="314"/>
      <c r="B278" s="314"/>
      <c r="C278" s="314"/>
      <c r="D278" s="342"/>
      <c r="E278" s="342"/>
      <c r="F278" s="342"/>
      <c r="G278" s="342"/>
      <c r="H278" s="342"/>
      <c r="I278" s="342"/>
    </row>
    <row r="279" spans="1:9" hidden="1">
      <c r="A279" s="314"/>
      <c r="B279" s="313" t="s">
        <v>660</v>
      </c>
      <c r="C279" s="330"/>
      <c r="D279" s="342"/>
      <c r="E279" s="342"/>
      <c r="F279" s="342"/>
      <c r="G279" s="342"/>
      <c r="H279" s="342"/>
      <c r="I279" s="342"/>
    </row>
    <row r="280" spans="1:9" hidden="1">
      <c r="A280" s="341" t="s">
        <v>167</v>
      </c>
      <c r="B280" s="326" t="str">
        <f>+B265</f>
        <v>Grade I</v>
      </c>
      <c r="C280" s="512">
        <v>0</v>
      </c>
      <c r="D280" s="512">
        <v>0</v>
      </c>
      <c r="E280" s="512">
        <v>0</v>
      </c>
      <c r="F280" s="512">
        <v>0</v>
      </c>
      <c r="G280" s="512">
        <v>0</v>
      </c>
      <c r="H280" s="512">
        <v>0</v>
      </c>
      <c r="I280" s="512">
        <v>0</v>
      </c>
    </row>
    <row r="281" spans="1:9" hidden="1">
      <c r="A281" s="341"/>
      <c r="B281" s="326"/>
      <c r="C281" s="512"/>
      <c r="D281" s="512"/>
      <c r="E281" s="512"/>
      <c r="F281" s="512"/>
      <c r="G281" s="512"/>
      <c r="H281" s="512"/>
      <c r="I281" s="512"/>
    </row>
    <row r="282" spans="1:9" hidden="1">
      <c r="A282" s="315" t="s">
        <v>167</v>
      </c>
      <c r="B282" s="623" t="str">
        <f>B280</f>
        <v>Grade I</v>
      </c>
      <c r="C282" s="314"/>
      <c r="D282" s="342"/>
      <c r="E282" s="342"/>
      <c r="F282" s="342"/>
      <c r="G282" s="342"/>
      <c r="H282" s="342"/>
      <c r="I282" s="342"/>
    </row>
    <row r="283" spans="1:9" hidden="1">
      <c r="A283" s="314"/>
      <c r="B283" s="330" t="s">
        <v>661</v>
      </c>
      <c r="C283" s="337">
        <v>0</v>
      </c>
      <c r="D283" s="425" t="e">
        <f t="shared" ref="D283:I283" si="149">C284</f>
        <v>#REF!</v>
      </c>
      <c r="E283" s="425" t="e">
        <f t="shared" si="149"/>
        <v>#REF!</v>
      </c>
      <c r="F283" s="425" t="e">
        <f t="shared" si="149"/>
        <v>#REF!</v>
      </c>
      <c r="G283" s="425" t="e">
        <f t="shared" si="149"/>
        <v>#REF!</v>
      </c>
      <c r="H283" s="425" t="e">
        <f t="shared" si="149"/>
        <v>#REF!</v>
      </c>
      <c r="I283" s="425" t="e">
        <f t="shared" si="149"/>
        <v>#REF!</v>
      </c>
    </row>
    <row r="284" spans="1:9" hidden="1">
      <c r="A284" s="314"/>
      <c r="B284" s="313" t="s">
        <v>662</v>
      </c>
      <c r="C284" s="337" t="e">
        <f>+SUM(#REF!)</f>
        <v>#REF!</v>
      </c>
      <c r="D284" s="337" t="e">
        <f>+SUM(#REF!)</f>
        <v>#REF!</v>
      </c>
      <c r="E284" s="337" t="e">
        <f>+SUM(#REF!)</f>
        <v>#REF!</v>
      </c>
      <c r="F284" s="337" t="e">
        <f>+SUM(#REF!)</f>
        <v>#REF!</v>
      </c>
      <c r="G284" s="337" t="e">
        <f>+SUM(#REF!)</f>
        <v>#REF!</v>
      </c>
      <c r="H284" s="337" t="e">
        <f>+SUM(#REF!)</f>
        <v>#REF!</v>
      </c>
      <c r="I284" s="337" t="e">
        <f>+SUM(#REF!)</f>
        <v>#REF!</v>
      </c>
    </row>
    <row r="285" spans="1:9" hidden="1">
      <c r="A285" s="314"/>
      <c r="B285" s="314"/>
      <c r="C285" s="314"/>
      <c r="D285" s="342"/>
      <c r="E285" s="342"/>
      <c r="F285" s="342"/>
      <c r="G285" s="342"/>
      <c r="H285" s="342"/>
      <c r="I285" s="342"/>
    </row>
    <row r="286" spans="1:9">
      <c r="A286" s="341"/>
      <c r="B286" s="577" t="str">
        <f>+'Input Sheet'!B83</f>
        <v>Finished Goods -Tur(MT)</v>
      </c>
      <c r="C286" s="324"/>
      <c r="D286" s="416"/>
      <c r="E286" s="416"/>
      <c r="F286" s="416"/>
      <c r="G286" s="416"/>
      <c r="H286" s="416"/>
      <c r="I286" s="416"/>
    </row>
    <row r="287" spans="1:9">
      <c r="A287" s="336" t="s">
        <v>167</v>
      </c>
      <c r="B287" s="313" t="str">
        <f>+B170</f>
        <v>Grade I</v>
      </c>
      <c r="C287" s="330"/>
      <c r="D287" s="387"/>
      <c r="E287" s="387"/>
      <c r="F287" s="387"/>
      <c r="G287" s="387"/>
      <c r="H287" s="342"/>
      <c r="I287" s="342"/>
    </row>
    <row r="288" spans="1:9">
      <c r="A288" s="341"/>
      <c r="B288" s="330" t="s">
        <v>657</v>
      </c>
      <c r="C288" s="330">
        <f>0</f>
        <v>0</v>
      </c>
      <c r="D288" s="387">
        <f t="shared" ref="D288:I288" si="150">C291</f>
        <v>9</v>
      </c>
      <c r="E288" s="387">
        <f t="shared" si="150"/>
        <v>10</v>
      </c>
      <c r="F288" s="387">
        <f t="shared" si="150"/>
        <v>10</v>
      </c>
      <c r="G288" s="387">
        <f t="shared" si="150"/>
        <v>10</v>
      </c>
      <c r="H288" s="387">
        <f t="shared" si="150"/>
        <v>10</v>
      </c>
      <c r="I288" s="387">
        <f t="shared" si="150"/>
        <v>10</v>
      </c>
    </row>
    <row r="289" spans="1:9">
      <c r="A289" s="341"/>
      <c r="B289" s="330" t="s">
        <v>658</v>
      </c>
      <c r="C289" s="331">
        <f t="shared" ref="C289:I289" si="151">+B57</f>
        <v>222</v>
      </c>
      <c r="D289" s="387">
        <f t="shared" si="151"/>
        <v>222</v>
      </c>
      <c r="E289" s="387">
        <f t="shared" si="151"/>
        <v>222</v>
      </c>
      <c r="F289" s="387">
        <f t="shared" si="151"/>
        <v>222</v>
      </c>
      <c r="G289" s="387">
        <f t="shared" si="151"/>
        <v>222</v>
      </c>
      <c r="H289" s="387">
        <f t="shared" si="151"/>
        <v>238</v>
      </c>
      <c r="I289" s="387">
        <f t="shared" si="151"/>
        <v>254</v>
      </c>
    </row>
    <row r="290" spans="1:9">
      <c r="A290" s="341"/>
      <c r="B290" s="330" t="s">
        <v>659</v>
      </c>
      <c r="C290" s="330">
        <f t="shared" ref="C290:I290" si="152">C288+C289-C291</f>
        <v>213</v>
      </c>
      <c r="D290" s="387">
        <f t="shared" si="152"/>
        <v>221</v>
      </c>
      <c r="E290" s="387">
        <f t="shared" si="152"/>
        <v>222</v>
      </c>
      <c r="F290" s="387">
        <f t="shared" si="152"/>
        <v>222</v>
      </c>
      <c r="G290" s="387">
        <f t="shared" si="152"/>
        <v>222</v>
      </c>
      <c r="H290" s="387">
        <f t="shared" si="152"/>
        <v>238</v>
      </c>
      <c r="I290" s="387">
        <f t="shared" si="152"/>
        <v>253</v>
      </c>
    </row>
    <row r="291" spans="1:9">
      <c r="A291" s="341"/>
      <c r="B291" s="330" t="s">
        <v>333</v>
      </c>
      <c r="C291" s="330">
        <f t="shared" ref="C291:I291" si="153">ROUND((C289+C288)/24,0)</f>
        <v>9</v>
      </c>
      <c r="D291" s="387">
        <f t="shared" si="153"/>
        <v>10</v>
      </c>
      <c r="E291" s="387">
        <f t="shared" si="153"/>
        <v>10</v>
      </c>
      <c r="F291" s="387">
        <f t="shared" si="153"/>
        <v>10</v>
      </c>
      <c r="G291" s="387">
        <f t="shared" si="153"/>
        <v>10</v>
      </c>
      <c r="H291" s="387">
        <f t="shared" si="153"/>
        <v>10</v>
      </c>
      <c r="I291" s="387">
        <f t="shared" si="153"/>
        <v>11</v>
      </c>
    </row>
    <row r="292" spans="1:9">
      <c r="A292" s="314"/>
      <c r="B292" s="314"/>
      <c r="C292" s="314"/>
      <c r="D292" s="342"/>
      <c r="E292" s="342"/>
      <c r="F292" s="342"/>
      <c r="G292" s="342"/>
      <c r="H292" s="342"/>
      <c r="I292" s="342"/>
    </row>
    <row r="293" spans="1:9">
      <c r="A293" s="336" t="s">
        <v>168</v>
      </c>
      <c r="B293" s="315" t="str">
        <f>+B174</f>
        <v>Grade II</v>
      </c>
      <c r="C293" s="315"/>
      <c r="D293" s="339"/>
      <c r="E293" s="339"/>
      <c r="F293" s="339"/>
      <c r="G293" s="339"/>
      <c r="H293" s="339"/>
      <c r="I293" s="339"/>
    </row>
    <row r="294" spans="1:9">
      <c r="A294" s="314"/>
      <c r="B294" s="330" t="s">
        <v>657</v>
      </c>
      <c r="C294" s="330">
        <f>0</f>
        <v>0</v>
      </c>
      <c r="D294" s="387">
        <f t="shared" ref="D294:I294" si="154">C297</f>
        <v>7</v>
      </c>
      <c r="E294" s="387">
        <f t="shared" si="154"/>
        <v>7</v>
      </c>
      <c r="F294" s="387">
        <f t="shared" si="154"/>
        <v>7</v>
      </c>
      <c r="G294" s="387">
        <f t="shared" si="154"/>
        <v>7</v>
      </c>
      <c r="H294" s="387">
        <f t="shared" si="154"/>
        <v>7</v>
      </c>
      <c r="I294" s="387">
        <f t="shared" si="154"/>
        <v>8</v>
      </c>
    </row>
    <row r="295" spans="1:9">
      <c r="A295" s="314"/>
      <c r="B295" s="330" t="s">
        <v>658</v>
      </c>
      <c r="C295" s="331">
        <f t="shared" ref="C295:I295" si="155">+B58</f>
        <v>161</v>
      </c>
      <c r="D295" s="331">
        <f t="shared" si="155"/>
        <v>161</v>
      </c>
      <c r="E295" s="331">
        <f t="shared" si="155"/>
        <v>161</v>
      </c>
      <c r="F295" s="331">
        <f t="shared" si="155"/>
        <v>161</v>
      </c>
      <c r="G295" s="331">
        <f t="shared" si="155"/>
        <v>161</v>
      </c>
      <c r="H295" s="331">
        <f t="shared" si="155"/>
        <v>173</v>
      </c>
      <c r="I295" s="331">
        <f t="shared" si="155"/>
        <v>184</v>
      </c>
    </row>
    <row r="296" spans="1:9">
      <c r="A296" s="314"/>
      <c r="B296" s="330" t="s">
        <v>659</v>
      </c>
      <c r="C296" s="330">
        <f t="shared" ref="C296:I296" si="156">C294+C295-C297</f>
        <v>154</v>
      </c>
      <c r="D296" s="387">
        <f t="shared" si="156"/>
        <v>161</v>
      </c>
      <c r="E296" s="387">
        <f t="shared" si="156"/>
        <v>161</v>
      </c>
      <c r="F296" s="387">
        <f t="shared" si="156"/>
        <v>161</v>
      </c>
      <c r="G296" s="387">
        <f t="shared" si="156"/>
        <v>161</v>
      </c>
      <c r="H296" s="387">
        <f t="shared" si="156"/>
        <v>172</v>
      </c>
      <c r="I296" s="387">
        <f t="shared" si="156"/>
        <v>184</v>
      </c>
    </row>
    <row r="297" spans="1:9">
      <c r="A297" s="314"/>
      <c r="B297" s="330" t="s">
        <v>333</v>
      </c>
      <c r="C297" s="330">
        <f t="shared" ref="C297:I297" si="157">ROUND((C295+C294)/24,0)</f>
        <v>7</v>
      </c>
      <c r="D297" s="387">
        <f t="shared" si="157"/>
        <v>7</v>
      </c>
      <c r="E297" s="387">
        <f t="shared" si="157"/>
        <v>7</v>
      </c>
      <c r="F297" s="387">
        <f t="shared" si="157"/>
        <v>7</v>
      </c>
      <c r="G297" s="387">
        <f t="shared" si="157"/>
        <v>7</v>
      </c>
      <c r="H297" s="387">
        <f t="shared" si="157"/>
        <v>8</v>
      </c>
      <c r="I297" s="387">
        <f t="shared" si="157"/>
        <v>8</v>
      </c>
    </row>
    <row r="298" spans="1:9">
      <c r="A298" s="314"/>
      <c r="B298" s="314"/>
      <c r="C298" s="314"/>
      <c r="D298" s="342"/>
      <c r="E298" s="342"/>
      <c r="F298" s="342"/>
      <c r="G298" s="342"/>
      <c r="H298" s="342"/>
      <c r="I298" s="342"/>
    </row>
    <row r="299" spans="1:9" hidden="1">
      <c r="A299" s="336" t="s">
        <v>169</v>
      </c>
      <c r="B299" s="315" t="str">
        <f>+B180</f>
        <v>Waste</v>
      </c>
      <c r="C299" s="315"/>
      <c r="D299" s="339"/>
      <c r="E299" s="339"/>
      <c r="F299" s="339"/>
      <c r="G299" s="339"/>
      <c r="H299" s="339"/>
      <c r="I299" s="339"/>
    </row>
    <row r="300" spans="1:9" hidden="1">
      <c r="A300" s="314"/>
      <c r="B300" s="330" t="s">
        <v>657</v>
      </c>
      <c r="C300" s="330">
        <f>0</f>
        <v>0</v>
      </c>
      <c r="D300" s="387">
        <f t="shared" ref="D300:I300" si="158">C303</f>
        <v>0</v>
      </c>
      <c r="E300" s="387">
        <f t="shared" si="158"/>
        <v>0</v>
      </c>
      <c r="F300" s="387">
        <f t="shared" si="158"/>
        <v>0</v>
      </c>
      <c r="G300" s="387">
        <f t="shared" si="158"/>
        <v>0</v>
      </c>
      <c r="H300" s="387">
        <f t="shared" si="158"/>
        <v>0</v>
      </c>
      <c r="I300" s="387">
        <f t="shared" si="158"/>
        <v>0</v>
      </c>
    </row>
    <row r="301" spans="1:9" hidden="1">
      <c r="A301" s="314"/>
      <c r="B301" s="330" t="s">
        <v>658</v>
      </c>
      <c r="C301" s="331">
        <v>0</v>
      </c>
      <c r="D301" s="331">
        <v>0</v>
      </c>
      <c r="E301" s="331">
        <v>0</v>
      </c>
      <c r="F301" s="331">
        <v>0</v>
      </c>
      <c r="G301" s="331">
        <v>0</v>
      </c>
      <c r="H301" s="331">
        <v>0</v>
      </c>
      <c r="I301" s="331">
        <v>0</v>
      </c>
    </row>
    <row r="302" spans="1:9" hidden="1">
      <c r="A302" s="314"/>
      <c r="B302" s="330" t="s">
        <v>659</v>
      </c>
      <c r="C302" s="330">
        <f t="shared" ref="C302:I302" si="159">C300+C301-C303</f>
        <v>0</v>
      </c>
      <c r="D302" s="387">
        <f t="shared" si="159"/>
        <v>0</v>
      </c>
      <c r="E302" s="387">
        <f t="shared" si="159"/>
        <v>0</v>
      </c>
      <c r="F302" s="387">
        <f t="shared" si="159"/>
        <v>0</v>
      </c>
      <c r="G302" s="387">
        <f t="shared" si="159"/>
        <v>0</v>
      </c>
      <c r="H302" s="387">
        <f t="shared" si="159"/>
        <v>0</v>
      </c>
      <c r="I302" s="387">
        <f t="shared" si="159"/>
        <v>0</v>
      </c>
    </row>
    <row r="303" spans="1:9" hidden="1">
      <c r="A303" s="314"/>
      <c r="B303" s="330" t="s">
        <v>333</v>
      </c>
      <c r="C303" s="330">
        <v>0</v>
      </c>
      <c r="D303" s="387">
        <v>0</v>
      </c>
      <c r="E303" s="387">
        <v>0</v>
      </c>
      <c r="F303" s="387">
        <v>0</v>
      </c>
      <c r="G303" s="387">
        <v>0</v>
      </c>
      <c r="H303" s="387">
        <v>0</v>
      </c>
      <c r="I303" s="387">
        <v>0</v>
      </c>
    </row>
    <row r="304" spans="1:9">
      <c r="A304" s="314"/>
      <c r="B304" s="314"/>
      <c r="C304" s="314"/>
      <c r="D304" s="342"/>
      <c r="E304" s="342"/>
      <c r="F304" s="342"/>
      <c r="G304" s="342"/>
      <c r="H304" s="342"/>
      <c r="I304" s="342"/>
    </row>
    <row r="305" spans="1:9">
      <c r="A305" s="314"/>
      <c r="B305" s="313" t="s">
        <v>660</v>
      </c>
      <c r="C305" s="330"/>
      <c r="D305" s="342"/>
      <c r="E305" s="342"/>
      <c r="F305" s="342"/>
      <c r="G305" s="342"/>
      <c r="H305" s="342"/>
      <c r="I305" s="342"/>
    </row>
    <row r="306" spans="1:9">
      <c r="A306" s="341" t="s">
        <v>167</v>
      </c>
      <c r="B306" s="326" t="str">
        <f>+B287</f>
        <v>Grade I</v>
      </c>
      <c r="C306" s="579">
        <f>+'Input Sheet'!C129</f>
        <v>76000</v>
      </c>
      <c r="D306" s="579">
        <f>+'Input Sheet'!D129</f>
        <v>79800</v>
      </c>
      <c r="E306" s="579">
        <f>+'Input Sheet'!E129</f>
        <v>83790</v>
      </c>
      <c r="F306" s="579">
        <f>+'Input Sheet'!F129</f>
        <v>87980</v>
      </c>
      <c r="G306" s="579">
        <f>+'Input Sheet'!G129</f>
        <v>92380</v>
      </c>
      <c r="H306" s="579">
        <f>+'Input Sheet'!H129</f>
        <v>97000</v>
      </c>
      <c r="I306" s="579">
        <f>+'Input Sheet'!I129</f>
        <v>101850</v>
      </c>
    </row>
    <row r="307" spans="1:9">
      <c r="A307" s="341" t="s">
        <v>168</v>
      </c>
      <c r="B307" s="326" t="str">
        <f>B293</f>
        <v>Grade II</v>
      </c>
      <c r="C307" s="579">
        <f>+'Input Sheet'!C130</f>
        <v>58500</v>
      </c>
      <c r="D307" s="579">
        <f>+'Input Sheet'!D130</f>
        <v>61430</v>
      </c>
      <c r="E307" s="579">
        <f>+'Input Sheet'!E130</f>
        <v>64500</v>
      </c>
      <c r="F307" s="579">
        <f>+'Input Sheet'!F130</f>
        <v>67730</v>
      </c>
      <c r="G307" s="579">
        <f>+'Input Sheet'!G130</f>
        <v>71120</v>
      </c>
      <c r="H307" s="579">
        <f>+'Input Sheet'!H130</f>
        <v>74680</v>
      </c>
      <c r="I307" s="579">
        <f>+'Input Sheet'!I130</f>
        <v>78410</v>
      </c>
    </row>
    <row r="308" spans="1:9">
      <c r="A308" s="341" t="s">
        <v>169</v>
      </c>
      <c r="B308" s="326" t="str">
        <f>B299</f>
        <v>Waste</v>
      </c>
      <c r="C308" s="579">
        <f>+'Input Sheet'!C131</f>
        <v>0</v>
      </c>
      <c r="D308" s="579">
        <f>+'Input Sheet'!D131</f>
        <v>0</v>
      </c>
      <c r="E308" s="579">
        <f>+'Input Sheet'!E131</f>
        <v>0</v>
      </c>
      <c r="F308" s="579">
        <f>+'Input Sheet'!F131</f>
        <v>0</v>
      </c>
      <c r="G308" s="579">
        <f>+'Input Sheet'!G131</f>
        <v>0</v>
      </c>
      <c r="H308" s="579">
        <f>+'Input Sheet'!H131</f>
        <v>0</v>
      </c>
      <c r="I308" s="579">
        <f>+'Input Sheet'!I131</f>
        <v>0</v>
      </c>
    </row>
    <row r="309" spans="1:9">
      <c r="A309" s="314"/>
      <c r="B309" s="314"/>
      <c r="C309" s="314"/>
      <c r="D309" s="342"/>
      <c r="E309" s="342"/>
      <c r="F309" s="342"/>
      <c r="G309" s="342"/>
      <c r="H309" s="342"/>
      <c r="I309" s="342"/>
    </row>
    <row r="310" spans="1:9">
      <c r="A310" s="315" t="s">
        <v>167</v>
      </c>
      <c r="B310" s="315" t="str">
        <f>B306</f>
        <v>Grade I</v>
      </c>
      <c r="C310" s="314"/>
      <c r="D310" s="342"/>
      <c r="E310" s="342"/>
      <c r="F310" s="342"/>
      <c r="G310" s="342"/>
      <c r="H310" s="342"/>
      <c r="I310" s="342"/>
    </row>
    <row r="311" spans="1:9">
      <c r="A311" s="314"/>
      <c r="B311" s="330" t="s">
        <v>661</v>
      </c>
      <c r="C311" s="337">
        <v>0</v>
      </c>
      <c r="D311" s="425">
        <f t="shared" ref="D311:I311" si="160">C312</f>
        <v>6.84</v>
      </c>
      <c r="E311" s="425">
        <f t="shared" si="160"/>
        <v>7.98</v>
      </c>
      <c r="F311" s="425">
        <f t="shared" si="160"/>
        <v>8.3789999999999996</v>
      </c>
      <c r="G311" s="425">
        <f t="shared" si="160"/>
        <v>8.798</v>
      </c>
      <c r="H311" s="425">
        <f t="shared" si="160"/>
        <v>9.2379999999999995</v>
      </c>
      <c r="I311" s="425">
        <f t="shared" si="160"/>
        <v>9.6999999999999993</v>
      </c>
    </row>
    <row r="312" spans="1:9">
      <c r="A312" s="314"/>
      <c r="B312" s="330" t="s">
        <v>662</v>
      </c>
      <c r="C312" s="337">
        <f t="shared" ref="C312:I312" si="161">C291*C306/100000</f>
        <v>6.84</v>
      </c>
      <c r="D312" s="425">
        <f t="shared" si="161"/>
        <v>7.98</v>
      </c>
      <c r="E312" s="425">
        <f t="shared" si="161"/>
        <v>8.3789999999999996</v>
      </c>
      <c r="F312" s="425">
        <f t="shared" si="161"/>
        <v>8.798</v>
      </c>
      <c r="G312" s="425">
        <f t="shared" si="161"/>
        <v>9.2379999999999995</v>
      </c>
      <c r="H312" s="425">
        <f t="shared" si="161"/>
        <v>9.6999999999999993</v>
      </c>
      <c r="I312" s="425">
        <f t="shared" si="161"/>
        <v>11.2035</v>
      </c>
    </row>
    <row r="313" spans="1:9">
      <c r="A313" s="314"/>
      <c r="B313" s="314"/>
      <c r="C313" s="314"/>
      <c r="D313" s="342"/>
      <c r="E313" s="342"/>
      <c r="F313" s="342"/>
      <c r="G313" s="342"/>
      <c r="H313" s="342"/>
      <c r="I313" s="342"/>
    </row>
    <row r="314" spans="1:9">
      <c r="A314" s="315" t="s">
        <v>168</v>
      </c>
      <c r="B314" s="315" t="str">
        <f>B293</f>
        <v>Grade II</v>
      </c>
      <c r="C314" s="314"/>
      <c r="D314" s="342"/>
      <c r="E314" s="342"/>
      <c r="F314" s="342"/>
      <c r="G314" s="342"/>
      <c r="H314" s="342"/>
      <c r="I314" s="342"/>
    </row>
    <row r="315" spans="1:9">
      <c r="A315" s="314"/>
      <c r="B315" s="330" t="s">
        <v>661</v>
      </c>
      <c r="C315" s="337">
        <v>0</v>
      </c>
      <c r="D315" s="425">
        <f t="shared" ref="D315:I315" si="162">C316</f>
        <v>4.0949999999999998</v>
      </c>
      <c r="E315" s="425">
        <f t="shared" si="162"/>
        <v>4.3000999999999996</v>
      </c>
      <c r="F315" s="425">
        <f t="shared" si="162"/>
        <v>4.5149999999999997</v>
      </c>
      <c r="G315" s="425">
        <f t="shared" si="162"/>
        <v>4.7411000000000003</v>
      </c>
      <c r="H315" s="425">
        <f t="shared" si="162"/>
        <v>4.9783999999999997</v>
      </c>
      <c r="I315" s="425">
        <f t="shared" si="162"/>
        <v>5.9744000000000002</v>
      </c>
    </row>
    <row r="316" spans="1:9">
      <c r="A316" s="314"/>
      <c r="B316" s="330" t="s">
        <v>662</v>
      </c>
      <c r="C316" s="337">
        <f t="shared" ref="C316:I316" si="163">C307*C297/100000</f>
        <v>4.0949999999999998</v>
      </c>
      <c r="D316" s="425">
        <f t="shared" si="163"/>
        <v>4.3000999999999996</v>
      </c>
      <c r="E316" s="425">
        <f t="shared" si="163"/>
        <v>4.5149999999999997</v>
      </c>
      <c r="F316" s="425">
        <f t="shared" si="163"/>
        <v>4.7411000000000003</v>
      </c>
      <c r="G316" s="425">
        <f t="shared" si="163"/>
        <v>4.9783999999999997</v>
      </c>
      <c r="H316" s="425">
        <f t="shared" si="163"/>
        <v>5.9744000000000002</v>
      </c>
      <c r="I316" s="425">
        <f t="shared" si="163"/>
        <v>6.2728000000000002</v>
      </c>
    </row>
    <row r="317" spans="1:9">
      <c r="A317" s="314"/>
      <c r="B317" s="330"/>
      <c r="C317" s="337"/>
      <c r="D317" s="425"/>
      <c r="E317" s="425"/>
      <c r="F317" s="425"/>
      <c r="G317" s="425"/>
      <c r="H317" s="425"/>
      <c r="I317" s="425"/>
    </row>
    <row r="318" spans="1:9" hidden="1">
      <c r="A318" s="315" t="s">
        <v>168</v>
      </c>
      <c r="B318" s="315" t="str">
        <f>B299</f>
        <v>Waste</v>
      </c>
      <c r="C318" s="314"/>
      <c r="D318" s="342"/>
      <c r="E318" s="342"/>
      <c r="F318" s="342"/>
      <c r="G318" s="342"/>
      <c r="H318" s="342"/>
      <c r="I318" s="342"/>
    </row>
    <row r="319" spans="1:9" hidden="1">
      <c r="A319" s="314"/>
      <c r="B319" s="330" t="s">
        <v>661</v>
      </c>
      <c r="C319" s="337">
        <v>0</v>
      </c>
      <c r="D319" s="425">
        <f t="shared" ref="D319:I319" si="164">C320</f>
        <v>0</v>
      </c>
      <c r="E319" s="425">
        <f t="shared" si="164"/>
        <v>0</v>
      </c>
      <c r="F319" s="425">
        <f t="shared" si="164"/>
        <v>0</v>
      </c>
      <c r="G319" s="425">
        <f t="shared" si="164"/>
        <v>0</v>
      </c>
      <c r="H319" s="425">
        <f t="shared" si="164"/>
        <v>0</v>
      </c>
      <c r="I319" s="425">
        <f t="shared" si="164"/>
        <v>0</v>
      </c>
    </row>
    <row r="320" spans="1:9" hidden="1">
      <c r="A320" s="314"/>
      <c r="B320" s="330" t="s">
        <v>662</v>
      </c>
      <c r="C320" s="337">
        <f t="shared" ref="C320:I320" si="165">C308*C303/100000</f>
        <v>0</v>
      </c>
      <c r="D320" s="425">
        <f t="shared" si="165"/>
        <v>0</v>
      </c>
      <c r="E320" s="425">
        <f t="shared" si="165"/>
        <v>0</v>
      </c>
      <c r="F320" s="425">
        <f t="shared" si="165"/>
        <v>0</v>
      </c>
      <c r="G320" s="425">
        <f t="shared" si="165"/>
        <v>0</v>
      </c>
      <c r="H320" s="425">
        <f t="shared" si="165"/>
        <v>0</v>
      </c>
      <c r="I320" s="425">
        <f t="shared" si="165"/>
        <v>0</v>
      </c>
    </row>
    <row r="321" spans="1:9">
      <c r="A321" s="314"/>
      <c r="B321" s="330"/>
      <c r="C321" s="337"/>
      <c r="D321" s="425"/>
      <c r="E321" s="425"/>
      <c r="F321" s="425"/>
      <c r="G321" s="425"/>
      <c r="H321" s="425"/>
      <c r="I321" s="425"/>
    </row>
    <row r="322" spans="1:9" hidden="1">
      <c r="A322" s="341"/>
      <c r="B322" s="577" t="str">
        <f>+'Input Sheet'!B87</f>
        <v>Finished Goods  -Udad Dal(MT)</v>
      </c>
      <c r="C322" s="324"/>
      <c r="D322" s="416"/>
      <c r="E322" s="416"/>
      <c r="F322" s="416"/>
      <c r="G322" s="416"/>
      <c r="H322" s="416"/>
      <c r="I322" s="416"/>
    </row>
    <row r="323" spans="1:9" hidden="1">
      <c r="A323" s="336" t="s">
        <v>167</v>
      </c>
      <c r="B323" s="313" t="str">
        <f>+B158</f>
        <v>Grade I</v>
      </c>
      <c r="C323" s="330"/>
      <c r="D323" s="387"/>
      <c r="E323" s="387"/>
      <c r="F323" s="387"/>
      <c r="G323" s="387"/>
      <c r="H323" s="342"/>
      <c r="I323" s="342"/>
    </row>
    <row r="324" spans="1:9" hidden="1">
      <c r="A324" s="341"/>
      <c r="B324" s="330" t="s">
        <v>657</v>
      </c>
      <c r="C324" s="330">
        <f>0</f>
        <v>0</v>
      </c>
      <c r="D324" s="387">
        <f t="shared" ref="D324:I324" si="166">C327</f>
        <v>0</v>
      </c>
      <c r="E324" s="387">
        <f t="shared" si="166"/>
        <v>0</v>
      </c>
      <c r="F324" s="387">
        <f t="shared" si="166"/>
        <v>0</v>
      </c>
      <c r="G324" s="387">
        <f t="shared" si="166"/>
        <v>0</v>
      </c>
      <c r="H324" s="387">
        <f t="shared" si="166"/>
        <v>0</v>
      </c>
      <c r="I324" s="387">
        <f t="shared" si="166"/>
        <v>0</v>
      </c>
    </row>
    <row r="325" spans="1:9" hidden="1">
      <c r="A325" s="341"/>
      <c r="B325" s="330" t="s">
        <v>658</v>
      </c>
      <c r="C325" s="331">
        <f t="shared" ref="C325:I325" si="167">+B52</f>
        <v>0</v>
      </c>
      <c r="D325" s="331">
        <f t="shared" si="167"/>
        <v>0</v>
      </c>
      <c r="E325" s="331">
        <f t="shared" si="167"/>
        <v>0</v>
      </c>
      <c r="F325" s="331">
        <f t="shared" si="167"/>
        <v>0</v>
      </c>
      <c r="G325" s="331">
        <f t="shared" si="167"/>
        <v>0</v>
      </c>
      <c r="H325" s="331">
        <f t="shared" si="167"/>
        <v>0</v>
      </c>
      <c r="I325" s="331">
        <f t="shared" si="167"/>
        <v>0</v>
      </c>
    </row>
    <row r="326" spans="1:9" hidden="1">
      <c r="A326" s="341"/>
      <c r="B326" s="330" t="s">
        <v>659</v>
      </c>
      <c r="C326" s="330">
        <f t="shared" ref="C326:I326" si="168">C324+C325-C327</f>
        <v>0</v>
      </c>
      <c r="D326" s="387">
        <f t="shared" si="168"/>
        <v>0</v>
      </c>
      <c r="E326" s="387">
        <f t="shared" si="168"/>
        <v>0</v>
      </c>
      <c r="F326" s="387">
        <f t="shared" si="168"/>
        <v>0</v>
      </c>
      <c r="G326" s="387">
        <f t="shared" si="168"/>
        <v>0</v>
      </c>
      <c r="H326" s="387">
        <f t="shared" si="168"/>
        <v>0</v>
      </c>
      <c r="I326" s="387">
        <f t="shared" si="168"/>
        <v>0</v>
      </c>
    </row>
    <row r="327" spans="1:9" hidden="1">
      <c r="A327" s="341"/>
      <c r="B327" s="330" t="s">
        <v>333</v>
      </c>
      <c r="C327" s="330">
        <f t="shared" ref="C327:I327" si="169">ROUND((C325+C324)/24,0)</f>
        <v>0</v>
      </c>
      <c r="D327" s="387">
        <f t="shared" si="169"/>
        <v>0</v>
      </c>
      <c r="E327" s="387">
        <f t="shared" si="169"/>
        <v>0</v>
      </c>
      <c r="F327" s="387">
        <f t="shared" si="169"/>
        <v>0</v>
      </c>
      <c r="G327" s="387">
        <f t="shared" si="169"/>
        <v>0</v>
      </c>
      <c r="H327" s="387">
        <f t="shared" si="169"/>
        <v>0</v>
      </c>
      <c r="I327" s="387">
        <f t="shared" si="169"/>
        <v>0</v>
      </c>
    </row>
    <row r="328" spans="1:9" hidden="1">
      <c r="A328" s="314"/>
      <c r="B328" s="314"/>
      <c r="C328" s="314"/>
      <c r="D328" s="342"/>
      <c r="E328" s="342"/>
      <c r="F328" s="342"/>
      <c r="G328" s="342"/>
      <c r="H328" s="342"/>
      <c r="I328" s="342"/>
    </row>
    <row r="329" spans="1:9" hidden="1">
      <c r="A329" s="336" t="s">
        <v>168</v>
      </c>
      <c r="B329" s="313" t="str">
        <f>+B164</f>
        <v>Grade II</v>
      </c>
      <c r="C329" s="330"/>
      <c r="D329" s="387"/>
      <c r="E329" s="387"/>
      <c r="F329" s="387"/>
      <c r="G329" s="387"/>
      <c r="H329" s="342"/>
      <c r="I329" s="342"/>
    </row>
    <row r="330" spans="1:9" hidden="1">
      <c r="A330" s="341"/>
      <c r="B330" s="330" t="s">
        <v>657</v>
      </c>
      <c r="C330" s="330">
        <f>0</f>
        <v>0</v>
      </c>
      <c r="D330" s="387">
        <f t="shared" ref="D330:I330" si="170">C333</f>
        <v>0</v>
      </c>
      <c r="E330" s="387">
        <f t="shared" si="170"/>
        <v>0</v>
      </c>
      <c r="F330" s="387">
        <f t="shared" si="170"/>
        <v>0</v>
      </c>
      <c r="G330" s="387">
        <f t="shared" si="170"/>
        <v>0</v>
      </c>
      <c r="H330" s="387">
        <f t="shared" si="170"/>
        <v>0</v>
      </c>
      <c r="I330" s="387">
        <f t="shared" si="170"/>
        <v>0</v>
      </c>
    </row>
    <row r="331" spans="1:9" hidden="1">
      <c r="A331" s="341"/>
      <c r="B331" s="330" t="s">
        <v>658</v>
      </c>
      <c r="C331" s="331">
        <f t="shared" ref="C331:I331" si="171">+B53*0.5</f>
        <v>0</v>
      </c>
      <c r="D331" s="331">
        <f t="shared" si="171"/>
        <v>0</v>
      </c>
      <c r="E331" s="331">
        <f t="shared" si="171"/>
        <v>0</v>
      </c>
      <c r="F331" s="331">
        <f t="shared" si="171"/>
        <v>0</v>
      </c>
      <c r="G331" s="331">
        <f t="shared" si="171"/>
        <v>0</v>
      </c>
      <c r="H331" s="331">
        <f t="shared" si="171"/>
        <v>0</v>
      </c>
      <c r="I331" s="331">
        <f t="shared" si="171"/>
        <v>0</v>
      </c>
    </row>
    <row r="332" spans="1:9" hidden="1">
      <c r="A332" s="341"/>
      <c r="B332" s="330" t="s">
        <v>659</v>
      </c>
      <c r="C332" s="330">
        <f t="shared" ref="C332:I332" si="172">C330+C331-C333</f>
        <v>0</v>
      </c>
      <c r="D332" s="387">
        <f t="shared" si="172"/>
        <v>0</v>
      </c>
      <c r="E332" s="387">
        <f t="shared" si="172"/>
        <v>0</v>
      </c>
      <c r="F332" s="387">
        <f t="shared" si="172"/>
        <v>0</v>
      </c>
      <c r="G332" s="387">
        <f t="shared" si="172"/>
        <v>0</v>
      </c>
      <c r="H332" s="387">
        <f t="shared" si="172"/>
        <v>0</v>
      </c>
      <c r="I332" s="387">
        <f t="shared" si="172"/>
        <v>0</v>
      </c>
    </row>
    <row r="333" spans="1:9" hidden="1">
      <c r="A333" s="341"/>
      <c r="B333" s="330" t="s">
        <v>333</v>
      </c>
      <c r="C333" s="330">
        <v>0</v>
      </c>
      <c r="D333" s="387">
        <v>0</v>
      </c>
      <c r="E333" s="387">
        <v>0</v>
      </c>
      <c r="F333" s="387">
        <v>0</v>
      </c>
      <c r="G333" s="387">
        <v>0</v>
      </c>
      <c r="H333" s="387">
        <v>0</v>
      </c>
      <c r="I333" s="387">
        <v>0</v>
      </c>
    </row>
    <row r="334" spans="1:9" hidden="1">
      <c r="A334" s="314"/>
      <c r="B334" s="314"/>
      <c r="C334" s="314"/>
      <c r="D334" s="342"/>
      <c r="E334" s="342"/>
      <c r="F334" s="342"/>
      <c r="G334" s="342"/>
      <c r="H334" s="342"/>
      <c r="I334" s="342"/>
    </row>
    <row r="335" spans="1:9" hidden="1">
      <c r="A335" s="314"/>
      <c r="B335" s="313" t="s">
        <v>660</v>
      </c>
      <c r="C335" s="330"/>
      <c r="D335" s="342"/>
      <c r="E335" s="342"/>
      <c r="F335" s="342"/>
      <c r="G335" s="342"/>
      <c r="H335" s="342"/>
      <c r="I335" s="342"/>
    </row>
    <row r="336" spans="1:9" hidden="1">
      <c r="A336" s="341" t="s">
        <v>167</v>
      </c>
      <c r="B336" s="326" t="str">
        <f>+B323</f>
        <v>Grade I</v>
      </c>
      <c r="C336" s="579">
        <f>+'Input Sheet'!C124</f>
        <v>0</v>
      </c>
      <c r="D336" s="579">
        <f>+'Input Sheet'!D124</f>
        <v>0</v>
      </c>
      <c r="E336" s="579">
        <f>+'Input Sheet'!E124</f>
        <v>0</v>
      </c>
      <c r="F336" s="579">
        <f>+'Input Sheet'!F124</f>
        <v>0</v>
      </c>
      <c r="G336" s="579">
        <f>+'Input Sheet'!G124</f>
        <v>0</v>
      </c>
      <c r="H336" s="579">
        <f>+'Input Sheet'!H124</f>
        <v>0</v>
      </c>
      <c r="I336" s="579">
        <f>+'Input Sheet'!I124</f>
        <v>0</v>
      </c>
    </row>
    <row r="337" spans="1:9" hidden="1">
      <c r="A337" s="341" t="s">
        <v>168</v>
      </c>
      <c r="B337" s="326" t="str">
        <f>+B329</f>
        <v>Grade II</v>
      </c>
      <c r="C337" s="579">
        <f>+'Input Sheet'!C125</f>
        <v>0</v>
      </c>
      <c r="D337" s="579">
        <f>+'Input Sheet'!D125</f>
        <v>0</v>
      </c>
      <c r="E337" s="579">
        <f>+'Input Sheet'!E125</f>
        <v>0</v>
      </c>
      <c r="F337" s="579">
        <f>+'Input Sheet'!F125</f>
        <v>0</v>
      </c>
      <c r="G337" s="579">
        <f>+'Input Sheet'!G125</f>
        <v>0</v>
      </c>
      <c r="H337" s="579">
        <f>+'Input Sheet'!H125</f>
        <v>0</v>
      </c>
      <c r="I337" s="579">
        <f>+'Input Sheet'!I125</f>
        <v>0</v>
      </c>
    </row>
    <row r="338" spans="1:9" hidden="1">
      <c r="A338" s="314"/>
      <c r="B338" s="314"/>
      <c r="C338" s="314"/>
      <c r="D338" s="342"/>
      <c r="E338" s="342"/>
      <c r="F338" s="342"/>
      <c r="G338" s="342"/>
      <c r="H338" s="342"/>
      <c r="I338" s="342"/>
    </row>
    <row r="339" spans="1:9" hidden="1">
      <c r="A339" s="315" t="s">
        <v>167</v>
      </c>
      <c r="B339" s="315" t="str">
        <f>B336</f>
        <v>Grade I</v>
      </c>
      <c r="C339" s="314"/>
      <c r="D339" s="342"/>
      <c r="E339" s="342"/>
      <c r="F339" s="342"/>
      <c r="G339" s="342"/>
      <c r="H339" s="342"/>
      <c r="I339" s="342"/>
    </row>
    <row r="340" spans="1:9" hidden="1">
      <c r="A340" s="314"/>
      <c r="B340" s="330" t="s">
        <v>661</v>
      </c>
      <c r="C340" s="337">
        <v>0</v>
      </c>
      <c r="D340" s="425">
        <f t="shared" ref="D340:I340" si="173">C341</f>
        <v>0</v>
      </c>
      <c r="E340" s="425">
        <f t="shared" si="173"/>
        <v>0</v>
      </c>
      <c r="F340" s="425">
        <f t="shared" si="173"/>
        <v>0</v>
      </c>
      <c r="G340" s="425">
        <f t="shared" si="173"/>
        <v>0</v>
      </c>
      <c r="H340" s="425">
        <f t="shared" si="173"/>
        <v>0</v>
      </c>
      <c r="I340" s="425">
        <f t="shared" si="173"/>
        <v>0</v>
      </c>
    </row>
    <row r="341" spans="1:9" hidden="1">
      <c r="A341" s="314"/>
      <c r="B341" s="330" t="s">
        <v>662</v>
      </c>
      <c r="C341" s="337">
        <f t="shared" ref="C341:I341" si="174">C327*C336/100000</f>
        <v>0</v>
      </c>
      <c r="D341" s="425">
        <f t="shared" si="174"/>
        <v>0</v>
      </c>
      <c r="E341" s="425">
        <f t="shared" si="174"/>
        <v>0</v>
      </c>
      <c r="F341" s="425">
        <f t="shared" si="174"/>
        <v>0</v>
      </c>
      <c r="G341" s="425">
        <f t="shared" si="174"/>
        <v>0</v>
      </c>
      <c r="H341" s="425">
        <f t="shared" si="174"/>
        <v>0</v>
      </c>
      <c r="I341" s="425">
        <f t="shared" si="174"/>
        <v>0</v>
      </c>
    </row>
    <row r="342" spans="1:9" hidden="1">
      <c r="A342" s="314"/>
      <c r="B342" s="314"/>
      <c r="C342" s="314"/>
      <c r="D342" s="342"/>
      <c r="E342" s="342"/>
      <c r="F342" s="342"/>
      <c r="G342" s="342"/>
      <c r="H342" s="342"/>
      <c r="I342" s="342"/>
    </row>
    <row r="343" spans="1:9" hidden="1">
      <c r="A343" s="315" t="s">
        <v>167</v>
      </c>
      <c r="B343" s="315" t="str">
        <f>+B337</f>
        <v>Grade II</v>
      </c>
      <c r="C343" s="314"/>
      <c r="D343" s="342"/>
      <c r="E343" s="342"/>
      <c r="F343" s="342"/>
      <c r="G343" s="342"/>
      <c r="H343" s="342"/>
      <c r="I343" s="342"/>
    </row>
    <row r="344" spans="1:9" hidden="1">
      <c r="A344" s="314"/>
      <c r="B344" s="330" t="s">
        <v>661</v>
      </c>
      <c r="C344" s="337">
        <v>0</v>
      </c>
      <c r="D344" s="425">
        <f t="shared" ref="D344:I344" si="175">C345</f>
        <v>0</v>
      </c>
      <c r="E344" s="425">
        <f t="shared" si="175"/>
        <v>0</v>
      </c>
      <c r="F344" s="425">
        <f t="shared" si="175"/>
        <v>0</v>
      </c>
      <c r="G344" s="425">
        <f t="shared" si="175"/>
        <v>0</v>
      </c>
      <c r="H344" s="425">
        <f t="shared" si="175"/>
        <v>0</v>
      </c>
      <c r="I344" s="425">
        <f t="shared" si="175"/>
        <v>0</v>
      </c>
    </row>
    <row r="345" spans="1:9" hidden="1">
      <c r="A345" s="314"/>
      <c r="B345" s="330" t="s">
        <v>662</v>
      </c>
      <c r="C345" s="337">
        <f t="shared" ref="C345:I345" si="176">C333*C337/100000</f>
        <v>0</v>
      </c>
      <c r="D345" s="425">
        <f t="shared" si="176"/>
        <v>0</v>
      </c>
      <c r="E345" s="425">
        <f t="shared" si="176"/>
        <v>0</v>
      </c>
      <c r="F345" s="425">
        <f t="shared" si="176"/>
        <v>0</v>
      </c>
      <c r="G345" s="425">
        <f t="shared" si="176"/>
        <v>0</v>
      </c>
      <c r="H345" s="425">
        <f t="shared" si="176"/>
        <v>0</v>
      </c>
      <c r="I345" s="425">
        <f t="shared" si="176"/>
        <v>0</v>
      </c>
    </row>
    <row r="346" spans="1:9">
      <c r="A346" s="314"/>
      <c r="B346" s="330"/>
      <c r="C346" s="337"/>
      <c r="D346" s="425"/>
      <c r="E346" s="425"/>
      <c r="F346" s="425"/>
      <c r="G346" s="425"/>
      <c r="H346" s="425"/>
      <c r="I346" s="425"/>
    </row>
    <row r="347" spans="1:9">
      <c r="A347" s="314"/>
      <c r="B347" s="314"/>
      <c r="C347" s="314"/>
      <c r="D347" s="342"/>
      <c r="E347" s="342"/>
      <c r="F347" s="342"/>
      <c r="G347" s="342"/>
      <c r="H347" s="342"/>
      <c r="I347" s="342"/>
    </row>
    <row r="348" spans="1:9">
      <c r="A348" s="314"/>
      <c r="B348" s="314"/>
      <c r="C348" s="314"/>
      <c r="D348" s="342"/>
      <c r="E348" s="342"/>
      <c r="F348" s="342"/>
      <c r="G348" s="342"/>
      <c r="H348" s="342"/>
      <c r="I348" s="342"/>
    </row>
    <row r="349" spans="1:9">
      <c r="A349" s="314"/>
      <c r="B349" s="315" t="s">
        <v>663</v>
      </c>
      <c r="C349" s="314"/>
      <c r="D349" s="342"/>
      <c r="E349" s="342"/>
      <c r="F349" s="342"/>
      <c r="G349" s="342"/>
      <c r="H349" s="342"/>
      <c r="I349" s="342"/>
    </row>
    <row r="350" spans="1:9">
      <c r="A350" s="314"/>
      <c r="B350" s="313" t="s">
        <v>661</v>
      </c>
      <c r="C350" s="338">
        <f>+C315+C311+C261+C257+C230+C226</f>
        <v>0</v>
      </c>
      <c r="D350" s="426">
        <f>+C351</f>
        <v>48.662333333333329</v>
      </c>
      <c r="E350" s="426">
        <f t="shared" ref="E350:I350" si="177">+D351</f>
        <v>91.511866666666677</v>
      </c>
      <c r="F350" s="426">
        <f t="shared" si="177"/>
        <v>137.682975</v>
      </c>
      <c r="G350" s="426">
        <f t="shared" si="177"/>
        <v>188.24396666666667</v>
      </c>
      <c r="H350" s="426">
        <f t="shared" si="177"/>
        <v>243.51015000000001</v>
      </c>
      <c r="I350" s="426">
        <f t="shared" si="177"/>
        <v>307.98156666666671</v>
      </c>
    </row>
    <row r="351" spans="1:9">
      <c r="A351" s="314"/>
      <c r="B351" s="313" t="s">
        <v>662</v>
      </c>
      <c r="C351" s="338">
        <f>+C316+C312+C262+C258+C231+C227</f>
        <v>48.662333333333329</v>
      </c>
      <c r="D351" s="338">
        <f t="shared" ref="D351:I351" si="178">+D316+D312+D262+D258+D231+D227</f>
        <v>91.511866666666677</v>
      </c>
      <c r="E351" s="338">
        <f t="shared" si="178"/>
        <v>137.682975</v>
      </c>
      <c r="F351" s="338">
        <f t="shared" si="178"/>
        <v>188.24396666666667</v>
      </c>
      <c r="G351" s="338">
        <f t="shared" si="178"/>
        <v>243.51015000000001</v>
      </c>
      <c r="H351" s="338">
        <f t="shared" si="178"/>
        <v>307.98156666666671</v>
      </c>
      <c r="I351" s="338">
        <f t="shared" si="178"/>
        <v>382.20636666666667</v>
      </c>
    </row>
    <row r="355" spans="1:10" ht="27" hidden="1">
      <c r="A355" s="540" t="s">
        <v>666</v>
      </c>
      <c r="B355" s="540"/>
      <c r="C355" s="540"/>
      <c r="D355" s="540"/>
      <c r="E355" s="540"/>
      <c r="F355" s="540"/>
      <c r="G355" s="541"/>
      <c r="H355" s="541"/>
    </row>
    <row r="356" spans="1:10" ht="15.75" hidden="1">
      <c r="A356" s="344"/>
      <c r="B356" s="344"/>
      <c r="C356" s="345"/>
      <c r="D356" s="428"/>
      <c r="E356" s="428"/>
      <c r="F356" s="428"/>
      <c r="G356" s="428"/>
      <c r="H356" s="428"/>
    </row>
    <row r="357" spans="1:10" ht="30" hidden="1">
      <c r="A357" s="326" t="s">
        <v>850</v>
      </c>
      <c r="B357" s="581">
        <f>+'Input Sheet'!C164</f>
        <v>0</v>
      </c>
      <c r="C357" s="347"/>
      <c r="D357" s="429"/>
      <c r="E357" s="429"/>
      <c r="F357" s="429"/>
      <c r="G357" s="429"/>
      <c r="H357" s="429"/>
      <c r="J357" s="363">
        <v>6</v>
      </c>
    </row>
    <row r="358" spans="1:10" hidden="1">
      <c r="A358" s="348" t="s">
        <v>668</v>
      </c>
      <c r="B358" s="581">
        <v>0</v>
      </c>
      <c r="C358" s="347"/>
      <c r="D358" s="429"/>
      <c r="E358" s="429"/>
      <c r="F358" s="429"/>
      <c r="G358" s="429"/>
      <c r="H358" s="429"/>
    </row>
    <row r="359" spans="1:10" hidden="1">
      <c r="A359" s="348" t="s">
        <v>669</v>
      </c>
      <c r="B359" s="581">
        <v>0</v>
      </c>
      <c r="C359" s="347"/>
      <c r="D359" s="429"/>
      <c r="E359" s="429"/>
      <c r="F359" s="429"/>
      <c r="G359" s="429"/>
      <c r="H359" s="429"/>
    </row>
    <row r="360" spans="1:10" hidden="1">
      <c r="A360" s="348" t="s">
        <v>670</v>
      </c>
      <c r="B360" s="346" t="e">
        <f>B357*B359*30/B358</f>
        <v>#DIV/0!</v>
      </c>
      <c r="C360" s="347"/>
      <c r="D360" s="429"/>
      <c r="E360" s="429"/>
      <c r="F360" s="429"/>
      <c r="G360" s="429"/>
      <c r="H360" s="429"/>
    </row>
    <row r="361" spans="1:10" hidden="1">
      <c r="A361" s="348" t="s">
        <v>677</v>
      </c>
      <c r="B361" s="582">
        <f>+'Input Sheet'!C167</f>
        <v>0</v>
      </c>
      <c r="C361" s="347"/>
      <c r="D361" s="429"/>
      <c r="E361" s="429"/>
      <c r="F361" s="429"/>
      <c r="G361" s="429"/>
      <c r="H361" s="429"/>
    </row>
    <row r="362" spans="1:10" ht="30" hidden="1">
      <c r="A362" s="602" t="s">
        <v>847</v>
      </c>
      <c r="B362" s="350" t="e">
        <f>+B360*B361*10/100000</f>
        <v>#DIV/0!</v>
      </c>
      <c r="C362" s="347"/>
      <c r="D362" s="429"/>
      <c r="E362" s="429"/>
      <c r="F362" s="429"/>
      <c r="G362" s="429"/>
      <c r="H362" s="429"/>
    </row>
    <row r="363" spans="1:10" hidden="1">
      <c r="A363" s="348"/>
      <c r="B363" s="583"/>
      <c r="C363" s="584"/>
      <c r="D363" s="429"/>
      <c r="E363" s="429"/>
      <c r="F363" s="429"/>
      <c r="G363" s="429"/>
      <c r="H363" s="429"/>
    </row>
    <row r="364" spans="1:10" hidden="1">
      <c r="A364" s="348"/>
      <c r="B364" s="348"/>
      <c r="C364" s="351"/>
      <c r="D364" s="430"/>
      <c r="E364" s="430"/>
      <c r="F364" s="430"/>
      <c r="G364" s="430"/>
      <c r="H364" s="430"/>
    </row>
    <row r="365" spans="1:10" hidden="1">
      <c r="A365" s="122" t="s">
        <v>0</v>
      </c>
      <c r="B365" s="122" t="s">
        <v>2</v>
      </c>
      <c r="C365" s="122" t="s">
        <v>3</v>
      </c>
      <c r="D365" s="122" t="s">
        <v>4</v>
      </c>
      <c r="E365" s="122" t="s">
        <v>5</v>
      </c>
      <c r="F365" s="122" t="s">
        <v>6</v>
      </c>
      <c r="G365" s="122" t="s">
        <v>163</v>
      </c>
      <c r="H365" s="122" t="s">
        <v>162</v>
      </c>
    </row>
    <row r="366" spans="1:10" hidden="1">
      <c r="A366" s="352" t="s">
        <v>671</v>
      </c>
      <c r="B366" s="353"/>
      <c r="C366" s="353"/>
      <c r="D366" s="431"/>
      <c r="E366" s="431"/>
      <c r="F366" s="431"/>
      <c r="G366" s="431"/>
      <c r="H366" s="431"/>
    </row>
    <row r="367" spans="1:10" hidden="1">
      <c r="A367" s="354" t="s">
        <v>672</v>
      </c>
      <c r="B367" s="353" t="e">
        <f>+$B$362</f>
        <v>#DIV/0!</v>
      </c>
      <c r="C367" s="353" t="e">
        <f>+B367</f>
        <v>#DIV/0!</v>
      </c>
      <c r="D367" s="353" t="e">
        <f t="shared" ref="D367:H367" si="179">+C367</f>
        <v>#DIV/0!</v>
      </c>
      <c r="E367" s="353" t="e">
        <f t="shared" si="179"/>
        <v>#DIV/0!</v>
      </c>
      <c r="F367" s="353" t="e">
        <f t="shared" si="179"/>
        <v>#DIV/0!</v>
      </c>
      <c r="G367" s="353" t="e">
        <f t="shared" si="179"/>
        <v>#DIV/0!</v>
      </c>
      <c r="H367" s="353" t="e">
        <f t="shared" si="179"/>
        <v>#DIV/0!</v>
      </c>
    </row>
    <row r="368" spans="1:10" hidden="1">
      <c r="A368" s="354" t="s">
        <v>291</v>
      </c>
      <c r="B368" s="355">
        <f>+'Input Sheet'!C169</f>
        <v>0.55000000000000004</v>
      </c>
      <c r="C368" s="355">
        <f>+'Input Sheet'!D169</f>
        <v>0.60000000000000009</v>
      </c>
      <c r="D368" s="355">
        <f>+'Input Sheet'!E169</f>
        <v>0.65000000000000013</v>
      </c>
      <c r="E368" s="355">
        <f>+'Input Sheet'!F169</f>
        <v>0.70000000000000018</v>
      </c>
      <c r="F368" s="355">
        <f>+'Input Sheet'!G169</f>
        <v>0.75000000000000022</v>
      </c>
      <c r="G368" s="355">
        <f>+'Input Sheet'!H169</f>
        <v>0.80000000000000027</v>
      </c>
      <c r="H368" s="355">
        <f>+'Input Sheet'!I169</f>
        <v>0.85000000000000031</v>
      </c>
    </row>
    <row r="369" spans="1:11" hidden="1">
      <c r="A369" s="354" t="s">
        <v>673</v>
      </c>
      <c r="B369" s="356" t="e">
        <f t="shared" ref="B369:H369" si="180">+$B$360*B368</f>
        <v>#DIV/0!</v>
      </c>
      <c r="C369" s="356" t="e">
        <f t="shared" si="180"/>
        <v>#DIV/0!</v>
      </c>
      <c r="D369" s="433" t="e">
        <f t="shared" si="180"/>
        <v>#DIV/0!</v>
      </c>
      <c r="E369" s="433" t="e">
        <f t="shared" si="180"/>
        <v>#DIV/0!</v>
      </c>
      <c r="F369" s="433" t="e">
        <f t="shared" si="180"/>
        <v>#DIV/0!</v>
      </c>
      <c r="G369" s="433" t="e">
        <f t="shared" si="180"/>
        <v>#DIV/0!</v>
      </c>
      <c r="H369" s="433" t="e">
        <f t="shared" si="180"/>
        <v>#DIV/0!</v>
      </c>
    </row>
    <row r="370" spans="1:11" hidden="1">
      <c r="A370" s="354" t="s">
        <v>674</v>
      </c>
      <c r="B370" s="356">
        <f t="shared" ref="B370:H370" si="181">+B42+B47+B52+B57+B62</f>
        <v>1190</v>
      </c>
      <c r="C370" s="356">
        <f t="shared" si="181"/>
        <v>1190</v>
      </c>
      <c r="D370" s="433">
        <f t="shared" si="181"/>
        <v>1190</v>
      </c>
      <c r="E370" s="433">
        <f t="shared" si="181"/>
        <v>1190</v>
      </c>
      <c r="F370" s="433">
        <f t="shared" si="181"/>
        <v>1190</v>
      </c>
      <c r="G370" s="433">
        <f t="shared" si="181"/>
        <v>1274</v>
      </c>
      <c r="H370" s="433">
        <f t="shared" si="181"/>
        <v>1360</v>
      </c>
    </row>
    <row r="371" spans="1:11" hidden="1">
      <c r="A371" s="354" t="s">
        <v>675</v>
      </c>
      <c r="B371" s="356" t="e">
        <f t="shared" ref="B371:H371" si="182">+B369-B370</f>
        <v>#DIV/0!</v>
      </c>
      <c r="C371" s="356" t="e">
        <f t="shared" si="182"/>
        <v>#DIV/0!</v>
      </c>
      <c r="D371" s="433" t="e">
        <f t="shared" si="182"/>
        <v>#DIV/0!</v>
      </c>
      <c r="E371" s="433" t="e">
        <f t="shared" si="182"/>
        <v>#DIV/0!</v>
      </c>
      <c r="F371" s="433" t="e">
        <f t="shared" si="182"/>
        <v>#DIV/0!</v>
      </c>
      <c r="G371" s="433" t="e">
        <f t="shared" si="182"/>
        <v>#DIV/0!</v>
      </c>
      <c r="H371" s="433" t="e">
        <f t="shared" si="182"/>
        <v>#DIV/0!</v>
      </c>
    </row>
    <row r="372" spans="1:11" hidden="1">
      <c r="A372" s="354"/>
      <c r="B372" s="355"/>
      <c r="C372" s="355"/>
      <c r="D372" s="432"/>
      <c r="E372" s="432"/>
      <c r="F372" s="432"/>
      <c r="G372" s="432"/>
      <c r="H372" s="432"/>
    </row>
    <row r="373" spans="1:11" hidden="1">
      <c r="A373" s="357" t="s">
        <v>676</v>
      </c>
      <c r="B373" s="358" t="e">
        <f t="shared" ref="B373:H373" si="183">+B367*B371/$B$360</f>
        <v>#DIV/0!</v>
      </c>
      <c r="C373" s="358" t="e">
        <f t="shared" si="183"/>
        <v>#DIV/0!</v>
      </c>
      <c r="D373" s="358" t="e">
        <f t="shared" si="183"/>
        <v>#DIV/0!</v>
      </c>
      <c r="E373" s="358" t="e">
        <f t="shared" si="183"/>
        <v>#DIV/0!</v>
      </c>
      <c r="F373" s="358" t="e">
        <f t="shared" si="183"/>
        <v>#DIV/0!</v>
      </c>
      <c r="G373" s="358" t="e">
        <f t="shared" si="183"/>
        <v>#DIV/0!</v>
      </c>
      <c r="H373" s="358" t="e">
        <f t="shared" si="183"/>
        <v>#DIV/0!</v>
      </c>
    </row>
    <row r="374" spans="1:11" hidden="1">
      <c r="A374" s="354"/>
      <c r="B374" s="358"/>
      <c r="C374" s="358"/>
      <c r="D374" s="417"/>
      <c r="E374" s="417"/>
      <c r="F374" s="417"/>
      <c r="G374" s="417"/>
      <c r="H374" s="417"/>
    </row>
    <row r="375" spans="1:11" hidden="1">
      <c r="A375" s="352" t="s">
        <v>8</v>
      </c>
      <c r="B375" s="329" t="e">
        <f t="shared" ref="B375:H375" si="184">SUM(B373:B374)</f>
        <v>#DIV/0!</v>
      </c>
      <c r="C375" s="329" t="e">
        <f t="shared" si="184"/>
        <v>#DIV/0!</v>
      </c>
      <c r="D375" s="418" t="e">
        <f t="shared" si="184"/>
        <v>#DIV/0!</v>
      </c>
      <c r="E375" s="418" t="e">
        <f t="shared" si="184"/>
        <v>#DIV/0!</v>
      </c>
      <c r="F375" s="418" t="e">
        <f t="shared" si="184"/>
        <v>#DIV/0!</v>
      </c>
      <c r="G375" s="418" t="e">
        <f t="shared" si="184"/>
        <v>#DIV/0!</v>
      </c>
      <c r="H375" s="418" t="e">
        <f t="shared" si="184"/>
        <v>#DIV/0!</v>
      </c>
    </row>
    <row r="379" spans="1:11" ht="28.5">
      <c r="A379" s="542" t="s">
        <v>731</v>
      </c>
    </row>
    <row r="380" spans="1:11">
      <c r="A380" s="543" t="s">
        <v>0</v>
      </c>
      <c r="B380" s="544" t="s">
        <v>2</v>
      </c>
      <c r="C380" s="544" t="s">
        <v>3</v>
      </c>
      <c r="D380" s="545" t="s">
        <v>4</v>
      </c>
      <c r="E380" s="545" t="s">
        <v>5</v>
      </c>
      <c r="F380" s="545" t="s">
        <v>6</v>
      </c>
      <c r="G380" s="545" t="s">
        <v>163</v>
      </c>
      <c r="H380" s="545" t="s">
        <v>162</v>
      </c>
      <c r="I380" s="546"/>
      <c r="J380" s="434">
        <v>2</v>
      </c>
      <c r="K380" s="401"/>
    </row>
    <row r="381" spans="1:11">
      <c r="A381" s="313"/>
      <c r="B381" s="324"/>
      <c r="C381" s="324"/>
      <c r="D381" s="416"/>
      <c r="E381" s="416"/>
      <c r="F381" s="416"/>
      <c r="G381" s="416"/>
      <c r="H381" s="416"/>
      <c r="I381" s="435"/>
      <c r="J381" s="435"/>
      <c r="K381" s="251"/>
    </row>
    <row r="382" spans="1:11">
      <c r="A382" s="330" t="str">
        <f>+A414</f>
        <v>Chana</v>
      </c>
      <c r="B382" s="331">
        <f t="shared" ref="B382:H382" si="185">+B416</f>
        <v>819</v>
      </c>
      <c r="C382" s="331">
        <f t="shared" si="185"/>
        <v>806</v>
      </c>
      <c r="D382" s="387">
        <f t="shared" si="185"/>
        <v>806</v>
      </c>
      <c r="E382" s="387">
        <f t="shared" si="185"/>
        <v>806</v>
      </c>
      <c r="F382" s="387">
        <f t="shared" si="185"/>
        <v>806</v>
      </c>
      <c r="G382" s="387">
        <f t="shared" si="185"/>
        <v>864</v>
      </c>
      <c r="H382" s="387">
        <f t="shared" si="185"/>
        <v>922</v>
      </c>
      <c r="I382" s="436"/>
      <c r="J382" s="436"/>
      <c r="K382" s="402"/>
    </row>
    <row r="383" spans="1:11">
      <c r="A383" s="330" t="s">
        <v>728</v>
      </c>
      <c r="B383" s="337">
        <f t="shared" ref="B383:H383" si="186">+B421</f>
        <v>48000</v>
      </c>
      <c r="C383" s="337">
        <f t="shared" si="186"/>
        <v>50400</v>
      </c>
      <c r="D383" s="425">
        <f t="shared" si="186"/>
        <v>52920</v>
      </c>
      <c r="E383" s="425">
        <f t="shared" si="186"/>
        <v>55570</v>
      </c>
      <c r="F383" s="425">
        <f t="shared" si="186"/>
        <v>58350</v>
      </c>
      <c r="G383" s="425">
        <f t="shared" si="186"/>
        <v>61270</v>
      </c>
      <c r="H383" s="425">
        <f t="shared" si="186"/>
        <v>64330</v>
      </c>
      <c r="I383" s="437"/>
      <c r="J383" s="437"/>
      <c r="K383" s="403"/>
    </row>
    <row r="384" spans="1:11">
      <c r="A384" s="330"/>
      <c r="B384" s="337"/>
      <c r="C384" s="337"/>
      <c r="D384" s="425"/>
      <c r="E384" s="425"/>
      <c r="F384" s="425"/>
      <c r="G384" s="425"/>
      <c r="H384" s="425"/>
      <c r="I384" s="437"/>
      <c r="J384" s="437"/>
      <c r="K384" s="403"/>
    </row>
    <row r="385" spans="1:11">
      <c r="A385" s="330" t="s">
        <v>729</v>
      </c>
      <c r="B385" s="337">
        <f t="shared" ref="B385:H385" si="187">+ROUND(B382*B383/100000,2)</f>
        <v>393.12</v>
      </c>
      <c r="C385" s="337">
        <f t="shared" si="187"/>
        <v>406.22</v>
      </c>
      <c r="D385" s="425">
        <f t="shared" si="187"/>
        <v>426.54</v>
      </c>
      <c r="E385" s="425">
        <f t="shared" si="187"/>
        <v>447.89</v>
      </c>
      <c r="F385" s="425">
        <f t="shared" si="187"/>
        <v>470.3</v>
      </c>
      <c r="G385" s="425">
        <f t="shared" si="187"/>
        <v>529.37</v>
      </c>
      <c r="H385" s="425">
        <f t="shared" si="187"/>
        <v>593.12</v>
      </c>
      <c r="I385" s="437"/>
      <c r="J385" s="437"/>
      <c r="K385" s="403"/>
    </row>
    <row r="386" spans="1:11">
      <c r="A386" s="330"/>
      <c r="B386" s="337"/>
      <c r="C386" s="337"/>
      <c r="D386" s="425"/>
      <c r="E386" s="425"/>
      <c r="F386" s="425"/>
      <c r="G386" s="425"/>
      <c r="H386" s="425"/>
      <c r="I386" s="437"/>
      <c r="J386" s="437"/>
      <c r="K386" s="403"/>
    </row>
    <row r="387" spans="1:11">
      <c r="A387" s="330" t="str">
        <f>+A427</f>
        <v>Soyabean</v>
      </c>
      <c r="B387" s="331">
        <f t="shared" ref="B387:H387" si="188">+B429</f>
        <v>819</v>
      </c>
      <c r="C387" s="331">
        <f t="shared" si="188"/>
        <v>806</v>
      </c>
      <c r="D387" s="387">
        <f t="shared" si="188"/>
        <v>806</v>
      </c>
      <c r="E387" s="387">
        <f t="shared" si="188"/>
        <v>806</v>
      </c>
      <c r="F387" s="387">
        <f t="shared" si="188"/>
        <v>806</v>
      </c>
      <c r="G387" s="387">
        <f t="shared" si="188"/>
        <v>864</v>
      </c>
      <c r="H387" s="387">
        <f t="shared" si="188"/>
        <v>922</v>
      </c>
      <c r="I387" s="436"/>
      <c r="J387" s="436"/>
      <c r="K387" s="404"/>
    </row>
    <row r="388" spans="1:11">
      <c r="A388" s="330" t="s">
        <v>728</v>
      </c>
      <c r="B388" s="337">
        <f t="shared" ref="B388:H388" si="189">+B434</f>
        <v>58500</v>
      </c>
      <c r="C388" s="337">
        <f t="shared" si="189"/>
        <v>61430</v>
      </c>
      <c r="D388" s="425">
        <f t="shared" si="189"/>
        <v>64500</v>
      </c>
      <c r="E388" s="425">
        <f t="shared" si="189"/>
        <v>67730</v>
      </c>
      <c r="F388" s="425">
        <f t="shared" si="189"/>
        <v>71120</v>
      </c>
      <c r="G388" s="425">
        <f t="shared" si="189"/>
        <v>74680</v>
      </c>
      <c r="H388" s="425">
        <f t="shared" si="189"/>
        <v>78410</v>
      </c>
      <c r="I388" s="437"/>
      <c r="J388" s="437"/>
      <c r="K388" s="403"/>
    </row>
    <row r="389" spans="1:11">
      <c r="A389" s="330"/>
      <c r="B389" s="337"/>
      <c r="C389" s="337"/>
      <c r="D389" s="425"/>
      <c r="E389" s="425"/>
      <c r="F389" s="425"/>
      <c r="G389" s="425"/>
      <c r="H389" s="425"/>
      <c r="I389" s="437"/>
      <c r="J389" s="437"/>
      <c r="K389" s="403"/>
    </row>
    <row r="390" spans="1:11">
      <c r="A390" s="330" t="s">
        <v>729</v>
      </c>
      <c r="B390" s="337">
        <f t="shared" ref="B390:H390" si="190">+ROUND(B387*B388/100000,2)</f>
        <v>479.12</v>
      </c>
      <c r="C390" s="337">
        <f t="shared" si="190"/>
        <v>495.13</v>
      </c>
      <c r="D390" s="425">
        <f t="shared" si="190"/>
        <v>519.87</v>
      </c>
      <c r="E390" s="425">
        <f t="shared" si="190"/>
        <v>545.9</v>
      </c>
      <c r="F390" s="425">
        <f t="shared" si="190"/>
        <v>573.23</v>
      </c>
      <c r="G390" s="425">
        <f t="shared" si="190"/>
        <v>645.24</v>
      </c>
      <c r="H390" s="425">
        <f t="shared" si="190"/>
        <v>722.94</v>
      </c>
      <c r="I390" s="437"/>
      <c r="J390" s="437"/>
      <c r="K390" s="403"/>
    </row>
    <row r="391" spans="1:11">
      <c r="A391" s="330"/>
      <c r="B391" s="337"/>
      <c r="C391" s="337"/>
      <c r="D391" s="425"/>
      <c r="E391" s="425"/>
      <c r="F391" s="425"/>
      <c r="G391" s="425"/>
      <c r="H391" s="425"/>
      <c r="I391" s="437"/>
      <c r="J391" s="437"/>
      <c r="K391" s="403"/>
    </row>
    <row r="392" spans="1:11" hidden="1">
      <c r="A392" s="330" t="str">
        <f>+A439</f>
        <v>Udad</v>
      </c>
      <c r="B392" s="331">
        <f t="shared" ref="B392:H392" si="191">+B441</f>
        <v>0</v>
      </c>
      <c r="C392" s="331">
        <f t="shared" si="191"/>
        <v>0</v>
      </c>
      <c r="D392" s="387">
        <f t="shared" si="191"/>
        <v>0</v>
      </c>
      <c r="E392" s="387">
        <f t="shared" si="191"/>
        <v>0</v>
      </c>
      <c r="F392" s="387">
        <f t="shared" si="191"/>
        <v>0</v>
      </c>
      <c r="G392" s="387">
        <f t="shared" si="191"/>
        <v>0</v>
      </c>
      <c r="H392" s="387">
        <f t="shared" si="191"/>
        <v>0</v>
      </c>
      <c r="I392" s="436"/>
      <c r="J392" s="436"/>
      <c r="K392" s="404"/>
    </row>
    <row r="393" spans="1:11" hidden="1">
      <c r="A393" s="330" t="s">
        <v>728</v>
      </c>
      <c r="B393" s="337">
        <f t="shared" ref="B393:H393" si="192">+B446</f>
        <v>0</v>
      </c>
      <c r="C393" s="337">
        <f t="shared" si="192"/>
        <v>0</v>
      </c>
      <c r="D393" s="425">
        <f t="shared" si="192"/>
        <v>0</v>
      </c>
      <c r="E393" s="425">
        <f t="shared" si="192"/>
        <v>0</v>
      </c>
      <c r="F393" s="425">
        <f t="shared" si="192"/>
        <v>0</v>
      </c>
      <c r="G393" s="425">
        <f t="shared" si="192"/>
        <v>0</v>
      </c>
      <c r="H393" s="425">
        <f t="shared" si="192"/>
        <v>0</v>
      </c>
      <c r="I393" s="437"/>
      <c r="J393" s="437"/>
      <c r="K393" s="403"/>
    </row>
    <row r="394" spans="1:11" hidden="1">
      <c r="A394" s="330"/>
      <c r="B394" s="337"/>
      <c r="C394" s="337"/>
      <c r="D394" s="425"/>
      <c r="E394" s="425"/>
      <c r="F394" s="425"/>
      <c r="G394" s="425"/>
      <c r="H394" s="425"/>
      <c r="I394" s="437"/>
      <c r="J394" s="437"/>
      <c r="K394" s="403"/>
    </row>
    <row r="395" spans="1:11" hidden="1">
      <c r="A395" s="330" t="s">
        <v>729</v>
      </c>
      <c r="B395" s="337">
        <f t="shared" ref="B395:H395" si="193">+ROUND(B392*B393/100000,2)</f>
        <v>0</v>
      </c>
      <c r="C395" s="337">
        <f t="shared" si="193"/>
        <v>0</v>
      </c>
      <c r="D395" s="425">
        <f t="shared" si="193"/>
        <v>0</v>
      </c>
      <c r="E395" s="425">
        <f t="shared" si="193"/>
        <v>0</v>
      </c>
      <c r="F395" s="425">
        <f t="shared" si="193"/>
        <v>0</v>
      </c>
      <c r="G395" s="425">
        <f t="shared" si="193"/>
        <v>0</v>
      </c>
      <c r="H395" s="425">
        <f t="shared" si="193"/>
        <v>0</v>
      </c>
      <c r="I395" s="437"/>
      <c r="J395" s="437"/>
      <c r="K395" s="403"/>
    </row>
    <row r="396" spans="1:11">
      <c r="A396" s="330"/>
      <c r="B396" s="337"/>
      <c r="C396" s="337"/>
      <c r="D396" s="425"/>
      <c r="E396" s="425"/>
      <c r="F396" s="425"/>
      <c r="G396" s="425"/>
      <c r="H396" s="425"/>
      <c r="I396" s="437"/>
      <c r="J396" s="437"/>
      <c r="K396" s="403"/>
    </row>
    <row r="397" spans="1:11">
      <c r="A397" s="330" t="str">
        <f>+A451</f>
        <v>Tur</v>
      </c>
      <c r="B397" s="331">
        <f t="shared" ref="B397:H397" si="194">+B453</f>
        <v>409</v>
      </c>
      <c r="C397" s="331">
        <f t="shared" si="194"/>
        <v>403</v>
      </c>
      <c r="D397" s="387">
        <f t="shared" si="194"/>
        <v>403</v>
      </c>
      <c r="E397" s="387">
        <f t="shared" si="194"/>
        <v>403</v>
      </c>
      <c r="F397" s="387">
        <f t="shared" si="194"/>
        <v>403</v>
      </c>
      <c r="G397" s="387">
        <f t="shared" si="194"/>
        <v>432</v>
      </c>
      <c r="H397" s="387">
        <f t="shared" si="194"/>
        <v>461</v>
      </c>
      <c r="I397" s="436"/>
      <c r="J397" s="436"/>
      <c r="K397" s="404"/>
    </row>
    <row r="398" spans="1:11">
      <c r="A398" s="330" t="s">
        <v>728</v>
      </c>
      <c r="B398" s="337">
        <f t="shared" ref="B398:H398" si="195">+B458</f>
        <v>60000</v>
      </c>
      <c r="C398" s="337">
        <f t="shared" si="195"/>
        <v>63000</v>
      </c>
      <c r="D398" s="425">
        <f t="shared" si="195"/>
        <v>66150</v>
      </c>
      <c r="E398" s="425">
        <f t="shared" si="195"/>
        <v>69460</v>
      </c>
      <c r="F398" s="425">
        <f t="shared" si="195"/>
        <v>72930</v>
      </c>
      <c r="G398" s="425">
        <f t="shared" si="195"/>
        <v>76580</v>
      </c>
      <c r="H398" s="425">
        <f t="shared" si="195"/>
        <v>80410</v>
      </c>
      <c r="I398" s="437"/>
      <c r="J398" s="437"/>
      <c r="K398" s="403"/>
    </row>
    <row r="399" spans="1:11">
      <c r="A399" s="330"/>
      <c r="B399" s="337"/>
      <c r="C399" s="337"/>
      <c r="D399" s="425"/>
      <c r="E399" s="425"/>
      <c r="F399" s="425"/>
      <c r="G399" s="425"/>
      <c r="H399" s="425"/>
      <c r="I399" s="437"/>
      <c r="J399" s="437"/>
      <c r="K399" s="403"/>
    </row>
    <row r="400" spans="1:11">
      <c r="A400" s="330" t="s">
        <v>729</v>
      </c>
      <c r="B400" s="337">
        <f t="shared" ref="B400:H400" si="196">+ROUND(B397*B398/100000,2)</f>
        <v>245.4</v>
      </c>
      <c r="C400" s="337">
        <f t="shared" si="196"/>
        <v>253.89</v>
      </c>
      <c r="D400" s="425">
        <f t="shared" si="196"/>
        <v>266.58</v>
      </c>
      <c r="E400" s="425">
        <f t="shared" si="196"/>
        <v>279.92</v>
      </c>
      <c r="F400" s="425">
        <f t="shared" si="196"/>
        <v>293.91000000000003</v>
      </c>
      <c r="G400" s="425">
        <f t="shared" si="196"/>
        <v>330.83</v>
      </c>
      <c r="H400" s="425">
        <f t="shared" si="196"/>
        <v>370.69</v>
      </c>
      <c r="I400" s="437"/>
      <c r="J400" s="437"/>
      <c r="K400" s="403"/>
    </row>
    <row r="401" spans="1:11">
      <c r="A401" s="330"/>
      <c r="B401" s="337"/>
      <c r="C401" s="337"/>
      <c r="D401" s="425"/>
      <c r="E401" s="425"/>
      <c r="F401" s="425"/>
      <c r="G401" s="425"/>
      <c r="H401" s="425"/>
      <c r="I401" s="437"/>
      <c r="J401" s="437"/>
      <c r="K401" s="403"/>
    </row>
    <row r="402" spans="1:11" hidden="1">
      <c r="A402" s="330" t="str">
        <f>+A463</f>
        <v>Chilli</v>
      </c>
      <c r="B402" s="331">
        <f t="shared" ref="B402:H402" si="197">+B465</f>
        <v>0</v>
      </c>
      <c r="C402" s="331">
        <f t="shared" si="197"/>
        <v>0</v>
      </c>
      <c r="D402" s="387">
        <f t="shared" si="197"/>
        <v>0</v>
      </c>
      <c r="E402" s="387">
        <f t="shared" si="197"/>
        <v>0</v>
      </c>
      <c r="F402" s="387">
        <f t="shared" si="197"/>
        <v>0</v>
      </c>
      <c r="G402" s="387">
        <f t="shared" si="197"/>
        <v>0</v>
      </c>
      <c r="H402" s="387">
        <f t="shared" si="197"/>
        <v>0</v>
      </c>
      <c r="I402" s="436"/>
      <c r="J402" s="436"/>
      <c r="K402" s="404"/>
    </row>
    <row r="403" spans="1:11" hidden="1">
      <c r="A403" s="330" t="s">
        <v>728</v>
      </c>
      <c r="B403" s="337">
        <f t="shared" ref="B403:H403" si="198">+B470</f>
        <v>0</v>
      </c>
      <c r="C403" s="337">
        <f t="shared" si="198"/>
        <v>0</v>
      </c>
      <c r="D403" s="425">
        <f t="shared" si="198"/>
        <v>0</v>
      </c>
      <c r="E403" s="425">
        <f t="shared" si="198"/>
        <v>0</v>
      </c>
      <c r="F403" s="425">
        <f t="shared" si="198"/>
        <v>0</v>
      </c>
      <c r="G403" s="425">
        <f t="shared" si="198"/>
        <v>0</v>
      </c>
      <c r="H403" s="425">
        <f t="shared" si="198"/>
        <v>0</v>
      </c>
      <c r="I403" s="437"/>
      <c r="J403" s="437"/>
      <c r="K403" s="403"/>
    </row>
    <row r="404" spans="1:11" hidden="1">
      <c r="A404" s="330"/>
      <c r="B404" s="337"/>
      <c r="C404" s="337"/>
      <c r="D404" s="425"/>
      <c r="E404" s="425"/>
      <c r="F404" s="425"/>
      <c r="G404" s="425"/>
      <c r="H404" s="425"/>
      <c r="I404" s="437"/>
      <c r="J404" s="437"/>
      <c r="K404" s="403"/>
    </row>
    <row r="405" spans="1:11" hidden="1">
      <c r="A405" s="330" t="s">
        <v>729</v>
      </c>
      <c r="B405" s="337">
        <f t="shared" ref="B405:H405" si="199">+ROUND(B402*B403/100000,2)</f>
        <v>0</v>
      </c>
      <c r="C405" s="337">
        <f t="shared" si="199"/>
        <v>0</v>
      </c>
      <c r="D405" s="425">
        <f t="shared" si="199"/>
        <v>0</v>
      </c>
      <c r="E405" s="425">
        <f t="shared" si="199"/>
        <v>0</v>
      </c>
      <c r="F405" s="425">
        <f t="shared" si="199"/>
        <v>0</v>
      </c>
      <c r="G405" s="425">
        <f t="shared" si="199"/>
        <v>0</v>
      </c>
      <c r="H405" s="425">
        <f t="shared" si="199"/>
        <v>0</v>
      </c>
      <c r="I405" s="437"/>
      <c r="J405" s="437"/>
      <c r="K405" s="403"/>
    </row>
    <row r="406" spans="1:11" hidden="1">
      <c r="A406" s="330"/>
      <c r="B406" s="337"/>
      <c r="C406" s="337"/>
      <c r="D406" s="425"/>
      <c r="E406" s="425"/>
      <c r="F406" s="425"/>
      <c r="G406" s="423"/>
      <c r="H406" s="423"/>
      <c r="I406" s="435"/>
      <c r="J406" s="435"/>
      <c r="K406" s="251"/>
    </row>
    <row r="407" spans="1:11">
      <c r="A407" s="313" t="s">
        <v>730</v>
      </c>
      <c r="B407" s="338">
        <f t="shared" ref="B407:H407" si="200">+B385+B390+B395+B400+B405</f>
        <v>1117.6400000000001</v>
      </c>
      <c r="C407" s="338">
        <f t="shared" si="200"/>
        <v>1155.24</v>
      </c>
      <c r="D407" s="426">
        <f t="shared" si="200"/>
        <v>1212.99</v>
      </c>
      <c r="E407" s="426">
        <f t="shared" si="200"/>
        <v>1273.71</v>
      </c>
      <c r="F407" s="426">
        <f t="shared" si="200"/>
        <v>1337.44</v>
      </c>
      <c r="G407" s="426">
        <f t="shared" si="200"/>
        <v>1505.44</v>
      </c>
      <c r="H407" s="426">
        <f t="shared" si="200"/>
        <v>1686.75</v>
      </c>
      <c r="I407" s="438"/>
      <c r="J407" s="438"/>
      <c r="K407" s="405"/>
    </row>
    <row r="411" spans="1:11" ht="26.25">
      <c r="A411" s="547" t="s">
        <v>740</v>
      </c>
    </row>
    <row r="412" spans="1:11">
      <c r="A412" s="543" t="s">
        <v>0</v>
      </c>
      <c r="B412" s="544" t="s">
        <v>2</v>
      </c>
      <c r="C412" s="544" t="s">
        <v>3</v>
      </c>
      <c r="D412" s="545" t="s">
        <v>4</v>
      </c>
      <c r="E412" s="545" t="s">
        <v>5</v>
      </c>
      <c r="F412" s="545" t="s">
        <v>6</v>
      </c>
      <c r="G412" s="545" t="s">
        <v>163</v>
      </c>
      <c r="H412" s="545" t="s">
        <v>162</v>
      </c>
      <c r="I412" s="439"/>
      <c r="J412" s="625">
        <v>1</v>
      </c>
      <c r="K412" s="408"/>
    </row>
    <row r="413" spans="1:11">
      <c r="A413" s="313" t="s">
        <v>732</v>
      </c>
      <c r="B413" s="330"/>
      <c r="C413" s="330"/>
      <c r="D413" s="387"/>
      <c r="E413" s="387"/>
      <c r="F413" s="387"/>
      <c r="G413" s="342"/>
      <c r="H413" s="342"/>
      <c r="I413" s="440"/>
      <c r="J413" s="440"/>
      <c r="K413" s="409"/>
    </row>
    <row r="414" spans="1:11">
      <c r="A414" s="313" t="str">
        <f>+'Input Sheet'!B95</f>
        <v>Chana</v>
      </c>
      <c r="B414" s="330"/>
      <c r="C414" s="330"/>
      <c r="D414" s="387"/>
      <c r="E414" s="387"/>
      <c r="F414" s="387"/>
      <c r="G414" s="342"/>
      <c r="H414" s="342"/>
      <c r="I414" s="440"/>
      <c r="J414" s="440"/>
      <c r="K414" s="409"/>
    </row>
    <row r="415" spans="1:11">
      <c r="A415" s="330" t="s">
        <v>354</v>
      </c>
      <c r="B415" s="330">
        <v>0</v>
      </c>
      <c r="C415" s="330">
        <f t="shared" ref="C415:H415" si="201">B418</f>
        <v>13</v>
      </c>
      <c r="D415" s="387">
        <f t="shared" si="201"/>
        <v>13</v>
      </c>
      <c r="E415" s="387">
        <f t="shared" si="201"/>
        <v>13</v>
      </c>
      <c r="F415" s="387">
        <f t="shared" si="201"/>
        <v>13</v>
      </c>
      <c r="G415" s="387">
        <f t="shared" si="201"/>
        <v>13</v>
      </c>
      <c r="H415" s="387">
        <f t="shared" si="201"/>
        <v>13</v>
      </c>
      <c r="I415" s="441"/>
      <c r="J415" s="441"/>
      <c r="K415" s="410"/>
    </row>
    <row r="416" spans="1:11">
      <c r="A416" s="330" t="s">
        <v>733</v>
      </c>
      <c r="B416" s="331">
        <f t="shared" ref="B416:H416" si="202">SUM(B417:B418)-B415</f>
        <v>819</v>
      </c>
      <c r="C416" s="331">
        <f t="shared" si="202"/>
        <v>806</v>
      </c>
      <c r="D416" s="387">
        <f t="shared" si="202"/>
        <v>806</v>
      </c>
      <c r="E416" s="387">
        <f t="shared" si="202"/>
        <v>806</v>
      </c>
      <c r="F416" s="387">
        <f t="shared" si="202"/>
        <v>806</v>
      </c>
      <c r="G416" s="387">
        <f t="shared" si="202"/>
        <v>864</v>
      </c>
      <c r="H416" s="387">
        <f t="shared" si="202"/>
        <v>922</v>
      </c>
      <c r="I416" s="441"/>
      <c r="J416" s="441"/>
      <c r="K416" s="411"/>
    </row>
    <row r="417" spans="1:11">
      <c r="A417" s="330" t="s">
        <v>734</v>
      </c>
      <c r="B417" s="331">
        <f t="shared" ref="B417:H417" si="203">+B32</f>
        <v>806</v>
      </c>
      <c r="C417" s="331">
        <f t="shared" si="203"/>
        <v>806</v>
      </c>
      <c r="D417" s="387">
        <f t="shared" si="203"/>
        <v>806</v>
      </c>
      <c r="E417" s="387">
        <f t="shared" si="203"/>
        <v>806</v>
      </c>
      <c r="F417" s="387">
        <f t="shared" si="203"/>
        <v>806</v>
      </c>
      <c r="G417" s="387">
        <f t="shared" si="203"/>
        <v>864</v>
      </c>
      <c r="H417" s="387">
        <f t="shared" si="203"/>
        <v>922</v>
      </c>
      <c r="I417" s="441"/>
      <c r="J417" s="441"/>
      <c r="K417" s="411"/>
    </row>
    <row r="418" spans="1:11">
      <c r="A418" s="330" t="s">
        <v>735</v>
      </c>
      <c r="B418" s="330">
        <f t="shared" ref="B418:H418" si="204">ROUND(B417/B70,0)</f>
        <v>13</v>
      </c>
      <c r="C418" s="330">
        <f t="shared" si="204"/>
        <v>13</v>
      </c>
      <c r="D418" s="387">
        <f t="shared" si="204"/>
        <v>13</v>
      </c>
      <c r="E418" s="387">
        <f t="shared" si="204"/>
        <v>13</v>
      </c>
      <c r="F418" s="387">
        <f t="shared" si="204"/>
        <v>13</v>
      </c>
      <c r="G418" s="387">
        <f t="shared" si="204"/>
        <v>13</v>
      </c>
      <c r="H418" s="387">
        <f t="shared" si="204"/>
        <v>13</v>
      </c>
      <c r="I418" s="441"/>
      <c r="J418" s="441"/>
      <c r="K418" s="410"/>
    </row>
    <row r="419" spans="1:11">
      <c r="A419" s="314"/>
      <c r="B419" s="314"/>
      <c r="C419" s="314"/>
      <c r="D419" s="342"/>
      <c r="E419" s="342"/>
      <c r="F419" s="342"/>
      <c r="G419" s="342"/>
      <c r="H419" s="342"/>
      <c r="I419" s="440"/>
      <c r="J419" s="440"/>
      <c r="K419" s="409"/>
    </row>
    <row r="420" spans="1:11">
      <c r="A420" s="313" t="s">
        <v>736</v>
      </c>
      <c r="B420" s="314"/>
      <c r="C420" s="314"/>
      <c r="D420" s="342"/>
      <c r="E420" s="342"/>
      <c r="F420" s="342"/>
      <c r="G420" s="342"/>
      <c r="H420" s="342"/>
      <c r="I420" s="440"/>
      <c r="J420" s="440"/>
      <c r="K420" s="409"/>
    </row>
    <row r="421" spans="1:11">
      <c r="A421" s="313" t="s">
        <v>737</v>
      </c>
      <c r="B421" s="586">
        <f>+'Input Sheet'!C95</f>
        <v>48000</v>
      </c>
      <c r="C421" s="586">
        <f>+'Input Sheet'!D95</f>
        <v>50400</v>
      </c>
      <c r="D421" s="586">
        <f>+'Input Sheet'!E95</f>
        <v>52920</v>
      </c>
      <c r="E421" s="586">
        <f>+'Input Sheet'!F95</f>
        <v>55570</v>
      </c>
      <c r="F421" s="586">
        <f>+'Input Sheet'!G95</f>
        <v>58350</v>
      </c>
      <c r="G421" s="586">
        <f>+'Input Sheet'!H95</f>
        <v>61270</v>
      </c>
      <c r="H421" s="586">
        <f>+'Input Sheet'!I95</f>
        <v>64330</v>
      </c>
      <c r="I421" s="440"/>
      <c r="J421" s="440"/>
      <c r="K421" s="412"/>
    </row>
    <row r="422" spans="1:11">
      <c r="A422" s="314"/>
      <c r="B422" s="314"/>
      <c r="C422" s="314"/>
      <c r="D422" s="342"/>
      <c r="E422" s="342"/>
      <c r="F422" s="342"/>
      <c r="G422" s="342"/>
      <c r="H422" s="342"/>
      <c r="I422" s="440"/>
      <c r="J422" s="440"/>
      <c r="K422" s="409"/>
    </row>
    <row r="423" spans="1:11">
      <c r="A423" s="314"/>
      <c r="B423" s="314"/>
      <c r="C423" s="314"/>
      <c r="D423" s="342"/>
      <c r="E423" s="342"/>
      <c r="F423" s="342"/>
      <c r="G423" s="342"/>
      <c r="H423" s="342"/>
      <c r="I423" s="440"/>
      <c r="J423" s="440"/>
      <c r="K423" s="409"/>
    </row>
    <row r="424" spans="1:11">
      <c r="A424" s="315" t="s">
        <v>738</v>
      </c>
      <c r="B424" s="407">
        <f>+B415*B421/100000</f>
        <v>0</v>
      </c>
      <c r="C424" s="339">
        <f t="shared" ref="C424:H424" si="205">+B425</f>
        <v>6.24</v>
      </c>
      <c r="D424" s="339">
        <f t="shared" si="205"/>
        <v>6.5519999999999996</v>
      </c>
      <c r="E424" s="339">
        <f t="shared" si="205"/>
        <v>6.8795999999999999</v>
      </c>
      <c r="F424" s="339">
        <f t="shared" si="205"/>
        <v>7.2241</v>
      </c>
      <c r="G424" s="339">
        <f t="shared" si="205"/>
        <v>7.5854999999999997</v>
      </c>
      <c r="H424" s="339">
        <f t="shared" si="205"/>
        <v>7.9650999999999996</v>
      </c>
      <c r="I424" s="413"/>
      <c r="J424" s="413"/>
      <c r="K424" s="413"/>
    </row>
    <row r="425" spans="1:11">
      <c r="A425" s="315" t="s">
        <v>739</v>
      </c>
      <c r="B425" s="339">
        <f t="shared" ref="B425:H425" si="206">+B418*B421/100000</f>
        <v>6.24</v>
      </c>
      <c r="C425" s="339">
        <f t="shared" si="206"/>
        <v>6.5519999999999996</v>
      </c>
      <c r="D425" s="339">
        <f t="shared" si="206"/>
        <v>6.8795999999999999</v>
      </c>
      <c r="E425" s="339">
        <f t="shared" si="206"/>
        <v>7.2241</v>
      </c>
      <c r="F425" s="339">
        <f t="shared" si="206"/>
        <v>7.5854999999999997</v>
      </c>
      <c r="G425" s="339">
        <f t="shared" si="206"/>
        <v>7.9650999999999996</v>
      </c>
      <c r="H425" s="339">
        <f t="shared" si="206"/>
        <v>8.3628999999999998</v>
      </c>
      <c r="I425" s="413"/>
      <c r="J425" s="413"/>
      <c r="K425" s="413"/>
    </row>
    <row r="426" spans="1:11">
      <c r="A426" s="314"/>
      <c r="B426" s="314"/>
      <c r="C426" s="314"/>
      <c r="D426" s="342"/>
      <c r="E426" s="342"/>
      <c r="F426" s="342"/>
      <c r="G426" s="342"/>
      <c r="H426" s="342"/>
      <c r="I426" s="440"/>
      <c r="J426" s="440"/>
      <c r="K426" s="409"/>
    </row>
    <row r="427" spans="1:11">
      <c r="A427" s="313" t="str">
        <f>+'Input Sheet'!B96</f>
        <v>Soyabean</v>
      </c>
      <c r="B427" s="330"/>
      <c r="C427" s="330"/>
      <c r="D427" s="387"/>
      <c r="E427" s="387"/>
      <c r="F427" s="387"/>
      <c r="G427" s="342"/>
      <c r="H427" s="342"/>
      <c r="I427" s="440"/>
      <c r="J427" s="440"/>
      <c r="K427" s="409"/>
    </row>
    <row r="428" spans="1:11">
      <c r="A428" s="330" t="s">
        <v>354</v>
      </c>
      <c r="B428" s="330">
        <v>0</v>
      </c>
      <c r="C428" s="330">
        <f t="shared" ref="C428:H428" si="207">B431</f>
        <v>13</v>
      </c>
      <c r="D428" s="387">
        <f t="shared" si="207"/>
        <v>13</v>
      </c>
      <c r="E428" s="387">
        <f t="shared" si="207"/>
        <v>13</v>
      </c>
      <c r="F428" s="387">
        <f t="shared" si="207"/>
        <v>13</v>
      </c>
      <c r="G428" s="387">
        <f t="shared" si="207"/>
        <v>13</v>
      </c>
      <c r="H428" s="387">
        <f t="shared" si="207"/>
        <v>13</v>
      </c>
      <c r="I428" s="441"/>
      <c r="J428" s="441"/>
      <c r="K428" s="410"/>
    </row>
    <row r="429" spans="1:11">
      <c r="A429" s="330" t="s">
        <v>733</v>
      </c>
      <c r="B429" s="331">
        <f t="shared" ref="B429:H429" si="208">SUM(B430:B431)-B428</f>
        <v>819</v>
      </c>
      <c r="C429" s="331">
        <f t="shared" si="208"/>
        <v>806</v>
      </c>
      <c r="D429" s="387">
        <f t="shared" si="208"/>
        <v>806</v>
      </c>
      <c r="E429" s="387">
        <f t="shared" si="208"/>
        <v>806</v>
      </c>
      <c r="F429" s="387">
        <f t="shared" si="208"/>
        <v>806</v>
      </c>
      <c r="G429" s="387">
        <f t="shared" si="208"/>
        <v>864</v>
      </c>
      <c r="H429" s="387">
        <f t="shared" si="208"/>
        <v>922</v>
      </c>
      <c r="I429" s="441"/>
      <c r="J429" s="441"/>
      <c r="K429" s="411"/>
    </row>
    <row r="430" spans="1:11">
      <c r="A430" s="330" t="s">
        <v>734</v>
      </c>
      <c r="B430" s="331">
        <f t="shared" ref="B430:H430" si="209">+B33</f>
        <v>806</v>
      </c>
      <c r="C430" s="331">
        <f t="shared" si="209"/>
        <v>806</v>
      </c>
      <c r="D430" s="387">
        <f t="shared" si="209"/>
        <v>806</v>
      </c>
      <c r="E430" s="387">
        <f t="shared" si="209"/>
        <v>806</v>
      </c>
      <c r="F430" s="387">
        <f t="shared" si="209"/>
        <v>806</v>
      </c>
      <c r="G430" s="387">
        <f t="shared" si="209"/>
        <v>864</v>
      </c>
      <c r="H430" s="387">
        <f t="shared" si="209"/>
        <v>922</v>
      </c>
      <c r="I430" s="441"/>
      <c r="J430" s="441"/>
      <c r="K430" s="411"/>
    </row>
    <row r="431" spans="1:11">
      <c r="A431" s="330" t="s">
        <v>735</v>
      </c>
      <c r="B431" s="330">
        <f t="shared" ref="B431:H431" si="210">ROUND(B430/B70,0)</f>
        <v>13</v>
      </c>
      <c r="C431" s="330">
        <f t="shared" si="210"/>
        <v>13</v>
      </c>
      <c r="D431" s="387">
        <f t="shared" si="210"/>
        <v>13</v>
      </c>
      <c r="E431" s="387">
        <f t="shared" si="210"/>
        <v>13</v>
      </c>
      <c r="F431" s="387">
        <f t="shared" si="210"/>
        <v>13</v>
      </c>
      <c r="G431" s="387">
        <f t="shared" si="210"/>
        <v>13</v>
      </c>
      <c r="H431" s="387">
        <f t="shared" si="210"/>
        <v>13</v>
      </c>
      <c r="I431" s="441"/>
      <c r="J431" s="441"/>
      <c r="K431" s="410"/>
    </row>
    <row r="432" spans="1:11">
      <c r="A432" s="314"/>
      <c r="B432" s="314"/>
      <c r="C432" s="314"/>
      <c r="D432" s="342"/>
      <c r="E432" s="342"/>
      <c r="F432" s="342"/>
      <c r="G432" s="342"/>
      <c r="H432" s="342"/>
      <c r="I432" s="440"/>
      <c r="J432" s="440"/>
      <c r="K432" s="409"/>
    </row>
    <row r="433" spans="1:11">
      <c r="A433" s="313" t="s">
        <v>736</v>
      </c>
      <c r="B433" s="314"/>
      <c r="C433" s="314"/>
      <c r="D433" s="342"/>
      <c r="E433" s="342"/>
      <c r="F433" s="342"/>
      <c r="G433" s="342"/>
      <c r="H433" s="342"/>
      <c r="I433" s="440"/>
      <c r="J433" s="440"/>
      <c r="K433" s="409"/>
    </row>
    <row r="434" spans="1:11">
      <c r="A434" s="313" t="s">
        <v>737</v>
      </c>
      <c r="B434" s="586">
        <f>+'Input Sheet'!C96</f>
        <v>58500</v>
      </c>
      <c r="C434" s="586">
        <f>+'Input Sheet'!D96</f>
        <v>61430</v>
      </c>
      <c r="D434" s="586">
        <f>+'Input Sheet'!E96</f>
        <v>64500</v>
      </c>
      <c r="E434" s="586">
        <f>+'Input Sheet'!F96</f>
        <v>67730</v>
      </c>
      <c r="F434" s="586">
        <f>+'Input Sheet'!G96</f>
        <v>71120</v>
      </c>
      <c r="G434" s="586">
        <f>+'Input Sheet'!H96</f>
        <v>74680</v>
      </c>
      <c r="H434" s="586">
        <f>+'Input Sheet'!I96</f>
        <v>78410</v>
      </c>
      <c r="I434" s="440"/>
      <c r="J434" s="440"/>
      <c r="K434" s="412"/>
    </row>
    <row r="435" spans="1:11">
      <c r="A435" s="313"/>
      <c r="B435" s="327"/>
      <c r="C435" s="406"/>
      <c r="D435" s="342"/>
      <c r="E435" s="342"/>
      <c r="F435" s="342"/>
      <c r="G435" s="342"/>
      <c r="H435" s="342"/>
      <c r="I435" s="440"/>
      <c r="J435" s="440"/>
      <c r="K435" s="412"/>
    </row>
    <row r="436" spans="1:11">
      <c r="A436" s="315" t="s">
        <v>738</v>
      </c>
      <c r="B436" s="407">
        <f>+B428*B434/100000</f>
        <v>0</v>
      </c>
      <c r="C436" s="339">
        <f t="shared" ref="C436:H436" si="211">+B437</f>
        <v>7.6050000000000004</v>
      </c>
      <c r="D436" s="339">
        <f t="shared" si="211"/>
        <v>7.9859</v>
      </c>
      <c r="E436" s="339">
        <f t="shared" si="211"/>
        <v>8.3849999999999998</v>
      </c>
      <c r="F436" s="339">
        <f t="shared" si="211"/>
        <v>8.8048999999999999</v>
      </c>
      <c r="G436" s="339">
        <f t="shared" si="211"/>
        <v>9.2455999999999996</v>
      </c>
      <c r="H436" s="339">
        <f t="shared" si="211"/>
        <v>9.7083999999999993</v>
      </c>
      <c r="I436" s="413"/>
      <c r="J436" s="413"/>
      <c r="K436" s="413"/>
    </row>
    <row r="437" spans="1:11">
      <c r="A437" s="315" t="s">
        <v>739</v>
      </c>
      <c r="B437" s="339">
        <f t="shared" ref="B437:H437" si="212">+B431*B434/100000</f>
        <v>7.6050000000000004</v>
      </c>
      <c r="C437" s="339">
        <f t="shared" si="212"/>
        <v>7.9859</v>
      </c>
      <c r="D437" s="339">
        <f t="shared" si="212"/>
        <v>8.3849999999999998</v>
      </c>
      <c r="E437" s="339">
        <f t="shared" si="212"/>
        <v>8.8048999999999999</v>
      </c>
      <c r="F437" s="339">
        <f t="shared" si="212"/>
        <v>9.2455999999999996</v>
      </c>
      <c r="G437" s="339">
        <f t="shared" si="212"/>
        <v>9.7083999999999993</v>
      </c>
      <c r="H437" s="339">
        <f t="shared" si="212"/>
        <v>10.193300000000001</v>
      </c>
      <c r="I437" s="413"/>
      <c r="J437" s="413"/>
      <c r="K437" s="413"/>
    </row>
    <row r="438" spans="1:11">
      <c r="A438" s="315"/>
      <c r="B438" s="339"/>
      <c r="C438" s="339"/>
      <c r="D438" s="339"/>
      <c r="E438" s="339"/>
      <c r="F438" s="339"/>
      <c r="G438" s="339"/>
      <c r="H438" s="339"/>
      <c r="I438" s="413"/>
      <c r="J438" s="413"/>
      <c r="K438" s="413"/>
    </row>
    <row r="439" spans="1:11" hidden="1">
      <c r="A439" s="313" t="str">
        <f>+'Input Sheet'!B98</f>
        <v>Udad</v>
      </c>
      <c r="B439" s="330"/>
      <c r="C439" s="330"/>
      <c r="D439" s="387"/>
      <c r="E439" s="387"/>
      <c r="F439" s="387"/>
      <c r="G439" s="342"/>
      <c r="H439" s="342"/>
      <c r="I439" s="440"/>
      <c r="J439" s="440"/>
      <c r="K439" s="409"/>
    </row>
    <row r="440" spans="1:11" hidden="1">
      <c r="A440" s="330" t="s">
        <v>354</v>
      </c>
      <c r="B440" s="330">
        <v>0</v>
      </c>
      <c r="C440" s="330">
        <f t="shared" ref="C440:H440" si="213">B443</f>
        <v>0</v>
      </c>
      <c r="D440" s="387">
        <f t="shared" si="213"/>
        <v>0</v>
      </c>
      <c r="E440" s="387">
        <f t="shared" si="213"/>
        <v>0</v>
      </c>
      <c r="F440" s="387">
        <f t="shared" si="213"/>
        <v>0</v>
      </c>
      <c r="G440" s="387">
        <f t="shared" si="213"/>
        <v>0</v>
      </c>
      <c r="H440" s="387">
        <f t="shared" si="213"/>
        <v>0</v>
      </c>
      <c r="I440" s="441"/>
      <c r="J440" s="441"/>
      <c r="K440" s="410"/>
    </row>
    <row r="441" spans="1:11" hidden="1">
      <c r="A441" s="330" t="s">
        <v>733</v>
      </c>
      <c r="B441" s="331">
        <f t="shared" ref="B441:H441" si="214">SUM(B442:B443)-B440</f>
        <v>0</v>
      </c>
      <c r="C441" s="331">
        <f t="shared" si="214"/>
        <v>0</v>
      </c>
      <c r="D441" s="387">
        <f t="shared" si="214"/>
        <v>0</v>
      </c>
      <c r="E441" s="387">
        <f t="shared" si="214"/>
        <v>0</v>
      </c>
      <c r="F441" s="387">
        <f t="shared" si="214"/>
        <v>0</v>
      </c>
      <c r="G441" s="387">
        <f t="shared" si="214"/>
        <v>0</v>
      </c>
      <c r="H441" s="387">
        <f t="shared" si="214"/>
        <v>0</v>
      </c>
      <c r="I441" s="441"/>
      <c r="J441" s="441"/>
      <c r="K441" s="411"/>
    </row>
    <row r="442" spans="1:11" hidden="1">
      <c r="A442" s="330" t="s">
        <v>734</v>
      </c>
      <c r="B442" s="331">
        <f t="shared" ref="B442:H442" si="215">+B34</f>
        <v>0</v>
      </c>
      <c r="C442" s="331">
        <f t="shared" si="215"/>
        <v>0</v>
      </c>
      <c r="D442" s="387">
        <f t="shared" si="215"/>
        <v>0</v>
      </c>
      <c r="E442" s="387">
        <f t="shared" si="215"/>
        <v>0</v>
      </c>
      <c r="F442" s="387">
        <f t="shared" si="215"/>
        <v>0</v>
      </c>
      <c r="G442" s="387">
        <f t="shared" si="215"/>
        <v>0</v>
      </c>
      <c r="H442" s="387">
        <f t="shared" si="215"/>
        <v>0</v>
      </c>
      <c r="I442" s="441"/>
      <c r="J442" s="441"/>
      <c r="K442" s="411"/>
    </row>
    <row r="443" spans="1:11" hidden="1">
      <c r="A443" s="330" t="s">
        <v>735</v>
      </c>
      <c r="B443" s="330">
        <f t="shared" ref="B443:H443" si="216">ROUND(B442/B70,0)</f>
        <v>0</v>
      </c>
      <c r="C443" s="330">
        <f t="shared" si="216"/>
        <v>0</v>
      </c>
      <c r="D443" s="387">
        <f t="shared" si="216"/>
        <v>0</v>
      </c>
      <c r="E443" s="387">
        <f t="shared" si="216"/>
        <v>0</v>
      </c>
      <c r="F443" s="387">
        <f t="shared" si="216"/>
        <v>0</v>
      </c>
      <c r="G443" s="387">
        <f t="shared" si="216"/>
        <v>0</v>
      </c>
      <c r="H443" s="387">
        <f t="shared" si="216"/>
        <v>0</v>
      </c>
      <c r="I443" s="441"/>
      <c r="J443" s="441"/>
      <c r="K443" s="410"/>
    </row>
    <row r="444" spans="1:11" hidden="1">
      <c r="A444" s="314"/>
      <c r="B444" s="314"/>
      <c r="C444" s="314"/>
      <c r="D444" s="342"/>
      <c r="E444" s="342"/>
      <c r="F444" s="342"/>
      <c r="G444" s="342"/>
      <c r="H444" s="342"/>
      <c r="I444" s="440"/>
      <c r="J444" s="440"/>
      <c r="K444" s="409"/>
    </row>
    <row r="445" spans="1:11" hidden="1">
      <c r="A445" s="313" t="s">
        <v>736</v>
      </c>
      <c r="B445" s="314"/>
      <c r="C445" s="314"/>
      <c r="D445" s="342"/>
      <c r="E445" s="342"/>
      <c r="F445" s="342"/>
      <c r="G445" s="342"/>
      <c r="H445" s="342"/>
      <c r="I445" s="440"/>
      <c r="J445" s="440"/>
      <c r="K445" s="409"/>
    </row>
    <row r="446" spans="1:11" hidden="1">
      <c r="A446" s="313" t="s">
        <v>737</v>
      </c>
      <c r="B446" s="327">
        <f>+'Input Sheet'!C98</f>
        <v>0</v>
      </c>
      <c r="C446" s="327">
        <f>+'Input Sheet'!D98</f>
        <v>0</v>
      </c>
      <c r="D446" s="327">
        <f>+'Input Sheet'!E98</f>
        <v>0</v>
      </c>
      <c r="E446" s="327">
        <f>+'Input Sheet'!F98</f>
        <v>0</v>
      </c>
      <c r="F446" s="327">
        <f>+'Input Sheet'!G98</f>
        <v>0</v>
      </c>
      <c r="G446" s="327">
        <f>+'Input Sheet'!H98</f>
        <v>0</v>
      </c>
      <c r="H446" s="327">
        <f>+'Input Sheet'!I98</f>
        <v>0</v>
      </c>
      <c r="I446" s="440"/>
      <c r="J446" s="440"/>
      <c r="K446" s="412"/>
    </row>
    <row r="447" spans="1:11" hidden="1">
      <c r="A447" s="313"/>
      <c r="B447" s="327"/>
      <c r="C447" s="406"/>
      <c r="D447" s="342"/>
      <c r="E447" s="342"/>
      <c r="F447" s="342"/>
      <c r="G447" s="342"/>
      <c r="H447" s="342"/>
      <c r="I447" s="440"/>
      <c r="J447" s="440"/>
      <c r="K447" s="412"/>
    </row>
    <row r="448" spans="1:11" hidden="1">
      <c r="A448" s="315" t="s">
        <v>738</v>
      </c>
      <c r="B448" s="407">
        <f>+B440*B446/100000</f>
        <v>0</v>
      </c>
      <c r="C448" s="339">
        <f t="shared" ref="C448:H448" si="217">+B449</f>
        <v>0</v>
      </c>
      <c r="D448" s="339">
        <f t="shared" si="217"/>
        <v>0</v>
      </c>
      <c r="E448" s="339">
        <f t="shared" si="217"/>
        <v>0</v>
      </c>
      <c r="F448" s="339">
        <f t="shared" si="217"/>
        <v>0</v>
      </c>
      <c r="G448" s="339">
        <f t="shared" si="217"/>
        <v>0</v>
      </c>
      <c r="H448" s="339">
        <f t="shared" si="217"/>
        <v>0</v>
      </c>
      <c r="I448" s="413"/>
      <c r="J448" s="413"/>
      <c r="K448" s="413"/>
    </row>
    <row r="449" spans="1:11" hidden="1">
      <c r="A449" s="315" t="s">
        <v>739</v>
      </c>
      <c r="B449" s="339">
        <f t="shared" ref="B449:H449" si="218">+B443*B446/100000</f>
        <v>0</v>
      </c>
      <c r="C449" s="339">
        <f t="shared" si="218"/>
        <v>0</v>
      </c>
      <c r="D449" s="339">
        <f t="shared" si="218"/>
        <v>0</v>
      </c>
      <c r="E449" s="339">
        <f t="shared" si="218"/>
        <v>0</v>
      </c>
      <c r="F449" s="339">
        <f t="shared" si="218"/>
        <v>0</v>
      </c>
      <c r="G449" s="339">
        <f t="shared" si="218"/>
        <v>0</v>
      </c>
      <c r="H449" s="339">
        <f t="shared" si="218"/>
        <v>0</v>
      </c>
      <c r="I449" s="413"/>
      <c r="J449" s="413"/>
      <c r="K449" s="413"/>
    </row>
    <row r="450" spans="1:11">
      <c r="A450" s="314"/>
      <c r="B450" s="314"/>
      <c r="C450" s="314"/>
      <c r="D450" s="342"/>
      <c r="E450" s="342"/>
      <c r="F450" s="342"/>
      <c r="G450" s="342"/>
      <c r="H450" s="342"/>
      <c r="I450" s="440"/>
      <c r="J450" s="440"/>
      <c r="K450" s="409"/>
    </row>
    <row r="451" spans="1:11">
      <c r="A451" s="313" t="str">
        <f>+'Input Sheet'!B99</f>
        <v>Tur</v>
      </c>
      <c r="B451" s="330"/>
      <c r="C451" s="330"/>
      <c r="D451" s="387"/>
      <c r="E451" s="387"/>
      <c r="F451" s="387"/>
      <c r="G451" s="342"/>
      <c r="H451" s="342"/>
      <c r="I451" s="440"/>
      <c r="J451" s="440"/>
      <c r="K451" s="409"/>
    </row>
    <row r="452" spans="1:11">
      <c r="A452" s="330" t="s">
        <v>354</v>
      </c>
      <c r="B452" s="330">
        <v>0</v>
      </c>
      <c r="C452" s="330">
        <f t="shared" ref="C452:H452" si="219">B455</f>
        <v>6</v>
      </c>
      <c r="D452" s="387">
        <f t="shared" si="219"/>
        <v>6</v>
      </c>
      <c r="E452" s="387">
        <f t="shared" si="219"/>
        <v>6</v>
      </c>
      <c r="F452" s="387">
        <f t="shared" si="219"/>
        <v>6</v>
      </c>
      <c r="G452" s="387">
        <f t="shared" si="219"/>
        <v>6</v>
      </c>
      <c r="H452" s="387">
        <f t="shared" si="219"/>
        <v>6</v>
      </c>
      <c r="I452" s="441"/>
      <c r="J452" s="441"/>
      <c r="K452" s="410"/>
    </row>
    <row r="453" spans="1:11">
      <c r="A453" s="330" t="s">
        <v>733</v>
      </c>
      <c r="B453" s="331">
        <f t="shared" ref="B453:H453" si="220">SUM(B454:B455)-B452</f>
        <v>409</v>
      </c>
      <c r="C453" s="331">
        <f t="shared" si="220"/>
        <v>403</v>
      </c>
      <c r="D453" s="387">
        <f t="shared" si="220"/>
        <v>403</v>
      </c>
      <c r="E453" s="387">
        <f t="shared" si="220"/>
        <v>403</v>
      </c>
      <c r="F453" s="387">
        <f t="shared" si="220"/>
        <v>403</v>
      </c>
      <c r="G453" s="387">
        <f t="shared" si="220"/>
        <v>432</v>
      </c>
      <c r="H453" s="387">
        <f t="shared" si="220"/>
        <v>461</v>
      </c>
      <c r="I453" s="441"/>
      <c r="J453" s="441"/>
      <c r="K453" s="411"/>
    </row>
    <row r="454" spans="1:11">
      <c r="A454" s="330" t="s">
        <v>734</v>
      </c>
      <c r="B454" s="331">
        <f t="shared" ref="B454:H454" si="221">+B35</f>
        <v>403</v>
      </c>
      <c r="C454" s="331">
        <f t="shared" si="221"/>
        <v>403</v>
      </c>
      <c r="D454" s="387">
        <f t="shared" si="221"/>
        <v>403</v>
      </c>
      <c r="E454" s="387">
        <f t="shared" si="221"/>
        <v>403</v>
      </c>
      <c r="F454" s="387">
        <f t="shared" si="221"/>
        <v>403</v>
      </c>
      <c r="G454" s="387">
        <f t="shared" si="221"/>
        <v>432</v>
      </c>
      <c r="H454" s="387">
        <f t="shared" si="221"/>
        <v>461</v>
      </c>
      <c r="I454" s="441"/>
      <c r="J454" s="441"/>
      <c r="K454" s="411"/>
    </row>
    <row r="455" spans="1:11">
      <c r="A455" s="330" t="s">
        <v>735</v>
      </c>
      <c r="B455" s="330">
        <f t="shared" ref="B455:H455" si="222">ROUND(B454/B70,0)</f>
        <v>6</v>
      </c>
      <c r="C455" s="330">
        <f t="shared" si="222"/>
        <v>6</v>
      </c>
      <c r="D455" s="387">
        <f t="shared" si="222"/>
        <v>6</v>
      </c>
      <c r="E455" s="387">
        <f t="shared" si="222"/>
        <v>6</v>
      </c>
      <c r="F455" s="387">
        <f t="shared" si="222"/>
        <v>6</v>
      </c>
      <c r="G455" s="387">
        <f t="shared" si="222"/>
        <v>6</v>
      </c>
      <c r="H455" s="387">
        <f t="shared" si="222"/>
        <v>6</v>
      </c>
      <c r="I455" s="441"/>
      <c r="J455" s="441"/>
      <c r="K455" s="410"/>
    </row>
    <row r="456" spans="1:11">
      <c r="A456" s="314"/>
      <c r="B456" s="314"/>
      <c r="C456" s="314"/>
      <c r="D456" s="342"/>
      <c r="E456" s="342"/>
      <c r="F456" s="342"/>
      <c r="G456" s="342"/>
      <c r="H456" s="342"/>
      <c r="I456" s="440"/>
      <c r="J456" s="440"/>
      <c r="K456" s="409"/>
    </row>
    <row r="457" spans="1:11">
      <c r="A457" s="313" t="s">
        <v>736</v>
      </c>
      <c r="B457" s="314"/>
      <c r="C457" s="314"/>
      <c r="D457" s="342"/>
      <c r="E457" s="342"/>
      <c r="F457" s="342"/>
      <c r="G457" s="342"/>
      <c r="H457" s="342"/>
      <c r="I457" s="440"/>
      <c r="J457" s="440"/>
      <c r="K457" s="409"/>
    </row>
    <row r="458" spans="1:11">
      <c r="A458" s="313" t="s">
        <v>737</v>
      </c>
      <c r="B458" s="586">
        <f>+'Input Sheet'!C99</f>
        <v>60000</v>
      </c>
      <c r="C458" s="586">
        <f>+'Input Sheet'!D99</f>
        <v>63000</v>
      </c>
      <c r="D458" s="586">
        <f>+'Input Sheet'!E99</f>
        <v>66150</v>
      </c>
      <c r="E458" s="586">
        <f>+'Input Sheet'!F99</f>
        <v>69460</v>
      </c>
      <c r="F458" s="586">
        <f>+'Input Sheet'!G99</f>
        <v>72930</v>
      </c>
      <c r="G458" s="586">
        <f>+'Input Sheet'!H99</f>
        <v>76580</v>
      </c>
      <c r="H458" s="586">
        <f>+'Input Sheet'!I99</f>
        <v>80410</v>
      </c>
      <c r="I458" s="440"/>
      <c r="J458" s="440"/>
      <c r="K458" s="412"/>
    </row>
    <row r="459" spans="1:11">
      <c r="A459" s="313"/>
      <c r="B459" s="327"/>
      <c r="C459" s="406"/>
      <c r="D459" s="342"/>
      <c r="E459" s="342"/>
      <c r="F459" s="342"/>
      <c r="G459" s="342"/>
      <c r="H459" s="342"/>
      <c r="I459" s="440"/>
      <c r="J459" s="440"/>
      <c r="K459" s="412"/>
    </row>
    <row r="460" spans="1:11">
      <c r="A460" s="315" t="s">
        <v>738</v>
      </c>
      <c r="B460" s="407">
        <f>+B452*B458/100000</f>
        <v>0</v>
      </c>
      <c r="C460" s="339">
        <f t="shared" ref="C460:H460" si="223">+B461</f>
        <v>3.6</v>
      </c>
      <c r="D460" s="339">
        <f t="shared" si="223"/>
        <v>3.78</v>
      </c>
      <c r="E460" s="339">
        <f t="shared" si="223"/>
        <v>3.9689999999999999</v>
      </c>
      <c r="F460" s="339">
        <f t="shared" si="223"/>
        <v>4.1676000000000002</v>
      </c>
      <c r="G460" s="339">
        <f t="shared" si="223"/>
        <v>4.3757999999999999</v>
      </c>
      <c r="H460" s="339">
        <f t="shared" si="223"/>
        <v>4.5948000000000002</v>
      </c>
      <c r="I460" s="413"/>
      <c r="J460" s="413"/>
      <c r="K460" s="413"/>
    </row>
    <row r="461" spans="1:11">
      <c r="A461" s="315" t="s">
        <v>739</v>
      </c>
      <c r="B461" s="339">
        <f t="shared" ref="B461:H461" si="224">+B455*B458/100000</f>
        <v>3.6</v>
      </c>
      <c r="C461" s="339">
        <f t="shared" si="224"/>
        <v>3.78</v>
      </c>
      <c r="D461" s="339">
        <f t="shared" si="224"/>
        <v>3.9689999999999999</v>
      </c>
      <c r="E461" s="339">
        <f t="shared" si="224"/>
        <v>4.1676000000000002</v>
      </c>
      <c r="F461" s="339">
        <f t="shared" si="224"/>
        <v>4.3757999999999999</v>
      </c>
      <c r="G461" s="339">
        <f t="shared" si="224"/>
        <v>4.5948000000000002</v>
      </c>
      <c r="H461" s="339">
        <f t="shared" si="224"/>
        <v>4.8246000000000002</v>
      </c>
      <c r="I461" s="413"/>
      <c r="J461" s="413"/>
      <c r="K461" s="413"/>
    </row>
    <row r="462" spans="1:11">
      <c r="A462" s="314"/>
      <c r="B462" s="314"/>
      <c r="C462" s="314"/>
      <c r="D462" s="342"/>
      <c r="E462" s="342"/>
      <c r="F462" s="342"/>
      <c r="G462" s="342"/>
      <c r="H462" s="342"/>
      <c r="I462" s="440"/>
      <c r="J462" s="440"/>
      <c r="K462" s="409"/>
    </row>
    <row r="463" spans="1:11" hidden="1">
      <c r="A463" s="313" t="str">
        <f>+'Input Sheet'!B100</f>
        <v>Chilli</v>
      </c>
      <c r="B463" s="330"/>
      <c r="C463" s="330"/>
      <c r="D463" s="387"/>
      <c r="E463" s="387"/>
      <c r="F463" s="387"/>
      <c r="G463" s="342"/>
      <c r="H463" s="342"/>
      <c r="I463" s="440"/>
      <c r="J463" s="440"/>
      <c r="K463" s="409"/>
    </row>
    <row r="464" spans="1:11" hidden="1">
      <c r="A464" s="330" t="s">
        <v>354</v>
      </c>
      <c r="B464" s="330">
        <v>0</v>
      </c>
      <c r="C464" s="330">
        <f t="shared" ref="C464:H464" si="225">B467</f>
        <v>0</v>
      </c>
      <c r="D464" s="387">
        <f t="shared" si="225"/>
        <v>0</v>
      </c>
      <c r="E464" s="387">
        <f t="shared" si="225"/>
        <v>0</v>
      </c>
      <c r="F464" s="387">
        <f t="shared" si="225"/>
        <v>0</v>
      </c>
      <c r="G464" s="387">
        <f t="shared" si="225"/>
        <v>0</v>
      </c>
      <c r="H464" s="387">
        <f t="shared" si="225"/>
        <v>0</v>
      </c>
      <c r="I464" s="441"/>
      <c r="J464" s="441"/>
      <c r="K464" s="410"/>
    </row>
    <row r="465" spans="1:11" hidden="1">
      <c r="A465" s="330" t="s">
        <v>733</v>
      </c>
      <c r="B465" s="331">
        <f t="shared" ref="B465:H465" si="226">SUM(B466:B467)-B464</f>
        <v>0</v>
      </c>
      <c r="C465" s="331">
        <f t="shared" si="226"/>
        <v>0</v>
      </c>
      <c r="D465" s="387">
        <f t="shared" si="226"/>
        <v>0</v>
      </c>
      <c r="E465" s="387">
        <f t="shared" si="226"/>
        <v>0</v>
      </c>
      <c r="F465" s="387">
        <f t="shared" si="226"/>
        <v>0</v>
      </c>
      <c r="G465" s="387">
        <f t="shared" si="226"/>
        <v>0</v>
      </c>
      <c r="H465" s="387">
        <f t="shared" si="226"/>
        <v>0</v>
      </c>
      <c r="I465" s="441"/>
      <c r="J465" s="441"/>
      <c r="K465" s="411"/>
    </row>
    <row r="466" spans="1:11" hidden="1">
      <c r="A466" s="330" t="s">
        <v>734</v>
      </c>
      <c r="B466" s="331">
        <f t="shared" ref="B466:H466" si="227">+B36</f>
        <v>0</v>
      </c>
      <c r="C466" s="331">
        <f t="shared" si="227"/>
        <v>0</v>
      </c>
      <c r="D466" s="387">
        <f t="shared" si="227"/>
        <v>0</v>
      </c>
      <c r="E466" s="387">
        <f t="shared" si="227"/>
        <v>0</v>
      </c>
      <c r="F466" s="387">
        <f t="shared" si="227"/>
        <v>0</v>
      </c>
      <c r="G466" s="387">
        <f t="shared" si="227"/>
        <v>0</v>
      </c>
      <c r="H466" s="387">
        <f t="shared" si="227"/>
        <v>0</v>
      </c>
      <c r="I466" s="441"/>
      <c r="J466" s="441"/>
      <c r="K466" s="411"/>
    </row>
    <row r="467" spans="1:11" hidden="1">
      <c r="A467" s="330" t="s">
        <v>735</v>
      </c>
      <c r="B467" s="330">
        <f t="shared" ref="B467:H467" si="228">ROUND(B466/B70,0)</f>
        <v>0</v>
      </c>
      <c r="C467" s="330">
        <f t="shared" si="228"/>
        <v>0</v>
      </c>
      <c r="D467" s="387">
        <f t="shared" si="228"/>
        <v>0</v>
      </c>
      <c r="E467" s="387">
        <f t="shared" si="228"/>
        <v>0</v>
      </c>
      <c r="F467" s="387">
        <f t="shared" si="228"/>
        <v>0</v>
      </c>
      <c r="G467" s="387">
        <f t="shared" si="228"/>
        <v>0</v>
      </c>
      <c r="H467" s="387">
        <f t="shared" si="228"/>
        <v>0</v>
      </c>
      <c r="I467" s="441"/>
      <c r="J467" s="441"/>
      <c r="K467" s="410"/>
    </row>
    <row r="468" spans="1:11" hidden="1">
      <c r="A468" s="314"/>
      <c r="B468" s="314"/>
      <c r="C468" s="314"/>
      <c r="D468" s="342"/>
      <c r="E468" s="342"/>
      <c r="F468" s="342"/>
      <c r="G468" s="342"/>
      <c r="H468" s="342"/>
      <c r="I468" s="440"/>
      <c r="J468" s="440"/>
      <c r="K468" s="409"/>
    </row>
    <row r="469" spans="1:11" hidden="1">
      <c r="A469" s="313" t="s">
        <v>736</v>
      </c>
      <c r="B469" s="314"/>
      <c r="C469" s="314"/>
      <c r="D469" s="342"/>
      <c r="E469" s="342"/>
      <c r="F469" s="342"/>
      <c r="G469" s="342"/>
      <c r="H469" s="342"/>
      <c r="I469" s="440"/>
      <c r="J469" s="440"/>
      <c r="K469" s="409"/>
    </row>
    <row r="470" spans="1:11" hidden="1">
      <c r="A470" s="313" t="s">
        <v>737</v>
      </c>
      <c r="B470" s="586">
        <f>+'Input Sheet'!C100</f>
        <v>0</v>
      </c>
      <c r="C470" s="586">
        <f>+'Input Sheet'!D100</f>
        <v>0</v>
      </c>
      <c r="D470" s="586">
        <f>+'Input Sheet'!E100</f>
        <v>0</v>
      </c>
      <c r="E470" s="586">
        <f>+'Input Sheet'!F100</f>
        <v>0</v>
      </c>
      <c r="F470" s="586">
        <f>+'Input Sheet'!G100</f>
        <v>0</v>
      </c>
      <c r="G470" s="586">
        <f>+'Input Sheet'!H100</f>
        <v>0</v>
      </c>
      <c r="H470" s="586">
        <f>+'Input Sheet'!I100</f>
        <v>0</v>
      </c>
      <c r="I470" s="440"/>
      <c r="J470" s="440"/>
      <c r="K470" s="412"/>
    </row>
    <row r="471" spans="1:11" hidden="1">
      <c r="A471" s="313"/>
      <c r="B471" s="327"/>
      <c r="C471" s="406"/>
      <c r="D471" s="342"/>
      <c r="E471" s="342"/>
      <c r="F471" s="342"/>
      <c r="G471" s="342"/>
      <c r="H471" s="342"/>
      <c r="I471" s="440"/>
      <c r="J471" s="440"/>
      <c r="K471" s="412"/>
    </row>
    <row r="472" spans="1:11" hidden="1">
      <c r="A472" s="315" t="s">
        <v>738</v>
      </c>
      <c r="B472" s="407">
        <f>+B464*B470/100000</f>
        <v>0</v>
      </c>
      <c r="C472" s="339">
        <f t="shared" ref="C472:H472" si="229">+B473</f>
        <v>0</v>
      </c>
      <c r="D472" s="339">
        <f t="shared" si="229"/>
        <v>0</v>
      </c>
      <c r="E472" s="339">
        <f t="shared" si="229"/>
        <v>0</v>
      </c>
      <c r="F472" s="339">
        <f t="shared" si="229"/>
        <v>0</v>
      </c>
      <c r="G472" s="339">
        <f t="shared" si="229"/>
        <v>0</v>
      </c>
      <c r="H472" s="339">
        <f t="shared" si="229"/>
        <v>0</v>
      </c>
      <c r="I472" s="413"/>
      <c r="J472" s="413"/>
      <c r="K472" s="413"/>
    </row>
    <row r="473" spans="1:11" hidden="1">
      <c r="A473" s="315" t="s">
        <v>739</v>
      </c>
      <c r="B473" s="339">
        <f t="shared" ref="B473:H473" si="230">+B467*B470/100000</f>
        <v>0</v>
      </c>
      <c r="C473" s="339">
        <f t="shared" si="230"/>
        <v>0</v>
      </c>
      <c r="D473" s="339">
        <f t="shared" si="230"/>
        <v>0</v>
      </c>
      <c r="E473" s="339">
        <f t="shared" si="230"/>
        <v>0</v>
      </c>
      <c r="F473" s="339">
        <f t="shared" si="230"/>
        <v>0</v>
      </c>
      <c r="G473" s="339">
        <f t="shared" si="230"/>
        <v>0</v>
      </c>
      <c r="H473" s="339">
        <f t="shared" si="230"/>
        <v>0</v>
      </c>
      <c r="I473" s="413"/>
      <c r="J473" s="413"/>
      <c r="K473" s="413"/>
    </row>
    <row r="474" spans="1:11">
      <c r="A474" s="314"/>
      <c r="B474" s="314"/>
      <c r="C474" s="314"/>
      <c r="D474" s="342"/>
      <c r="E474" s="342"/>
      <c r="F474" s="342"/>
      <c r="G474" s="342"/>
      <c r="H474" s="342"/>
      <c r="I474" s="440"/>
      <c r="J474" s="440"/>
      <c r="K474" s="409"/>
    </row>
    <row r="475" spans="1:11">
      <c r="A475" s="313" t="s">
        <v>661</v>
      </c>
      <c r="B475" s="338">
        <f>+B424+B436</f>
        <v>0</v>
      </c>
      <c r="C475" s="338">
        <f t="shared" ref="C475:H475" si="231">B476</f>
        <v>17.445</v>
      </c>
      <c r="D475" s="426">
        <f t="shared" si="231"/>
        <v>18.317900000000002</v>
      </c>
      <c r="E475" s="426">
        <f t="shared" si="231"/>
        <v>19.233599999999999</v>
      </c>
      <c r="F475" s="426">
        <f t="shared" si="231"/>
        <v>20.1966</v>
      </c>
      <c r="G475" s="426">
        <f t="shared" si="231"/>
        <v>21.206899999999997</v>
      </c>
      <c r="H475" s="426">
        <f t="shared" si="231"/>
        <v>22.2683</v>
      </c>
      <c r="I475" s="442"/>
      <c r="J475" s="442"/>
      <c r="K475" s="414"/>
    </row>
    <row r="476" spans="1:11">
      <c r="A476" s="313" t="s">
        <v>662</v>
      </c>
      <c r="B476" s="338">
        <f>+B461+B449+B437+B425</f>
        <v>17.445</v>
      </c>
      <c r="C476" s="338">
        <f t="shared" ref="C476:H476" si="232">+C461+C449+C437+C425</f>
        <v>18.317900000000002</v>
      </c>
      <c r="D476" s="338">
        <f t="shared" si="232"/>
        <v>19.233599999999999</v>
      </c>
      <c r="E476" s="338">
        <f t="shared" si="232"/>
        <v>20.1966</v>
      </c>
      <c r="F476" s="338">
        <f t="shared" si="232"/>
        <v>21.206899999999997</v>
      </c>
      <c r="G476" s="338">
        <f t="shared" si="232"/>
        <v>22.2683</v>
      </c>
      <c r="H476" s="338">
        <f t="shared" si="232"/>
        <v>23.380800000000001</v>
      </c>
      <c r="I476" s="442"/>
      <c r="J476" s="442"/>
      <c r="K476" s="414"/>
    </row>
    <row r="478" spans="1:11">
      <c r="A478" s="5"/>
    </row>
    <row r="479" spans="1:11" ht="18.75">
      <c r="A479" s="592" t="s">
        <v>840</v>
      </c>
      <c r="D479"/>
      <c r="E479"/>
      <c r="F479"/>
      <c r="G479"/>
      <c r="H479"/>
      <c r="I479"/>
      <c r="J479"/>
    </row>
    <row r="480" spans="1:11">
      <c r="D480"/>
      <c r="E480"/>
      <c r="F480"/>
      <c r="G480"/>
      <c r="H480"/>
      <c r="I480"/>
      <c r="J480"/>
    </row>
    <row r="481" spans="1:12">
      <c r="A481" s="589" t="s">
        <v>652</v>
      </c>
      <c r="B481" s="323" t="s">
        <v>0</v>
      </c>
      <c r="C481" s="590" t="s">
        <v>2</v>
      </c>
      <c r="D481" s="590" t="s">
        <v>3</v>
      </c>
      <c r="E481" s="590" t="s">
        <v>4</v>
      </c>
      <c r="F481" s="590" t="s">
        <v>5</v>
      </c>
      <c r="G481" s="590" t="s">
        <v>6</v>
      </c>
      <c r="H481" s="590" t="s">
        <v>163</v>
      </c>
      <c r="I481" s="593" t="s">
        <v>162</v>
      </c>
      <c r="J481" s="596">
        <v>5</v>
      </c>
      <c r="K481" s="401"/>
      <c r="L481" s="401"/>
    </row>
    <row r="482" spans="1:12">
      <c r="A482" s="336" t="s">
        <v>167</v>
      </c>
      <c r="B482" s="313" t="s">
        <v>841</v>
      </c>
      <c r="C482" s="330">
        <f>+'Input Sheet'!D218</f>
        <v>10</v>
      </c>
      <c r="D482" s="330">
        <f>+'Input Sheet'!E218</f>
        <v>11</v>
      </c>
      <c r="E482" s="330">
        <f>+'Input Sheet'!F218</f>
        <v>12</v>
      </c>
      <c r="F482" s="330">
        <f>+'Input Sheet'!G218</f>
        <v>13</v>
      </c>
      <c r="G482" s="330">
        <f>+'Input Sheet'!H218</f>
        <v>14</v>
      </c>
      <c r="H482" s="330">
        <f>+'Input Sheet'!I218</f>
        <v>15</v>
      </c>
      <c r="I482" s="330">
        <f>+'Input Sheet'!J218</f>
        <v>16</v>
      </c>
      <c r="J482" s="597"/>
      <c r="K482" s="402"/>
      <c r="L482" s="402"/>
    </row>
    <row r="483" spans="1:12">
      <c r="A483" s="314"/>
      <c r="B483" s="330" t="s">
        <v>842</v>
      </c>
      <c r="C483" s="337">
        <f t="shared" ref="C483:I483" si="233">+B71</f>
        <v>210</v>
      </c>
      <c r="D483" s="337">
        <f t="shared" si="233"/>
        <v>210</v>
      </c>
      <c r="E483" s="337">
        <f t="shared" si="233"/>
        <v>210</v>
      </c>
      <c r="F483" s="337">
        <f t="shared" si="233"/>
        <v>210</v>
      </c>
      <c r="G483" s="337">
        <f t="shared" si="233"/>
        <v>210</v>
      </c>
      <c r="H483" s="337">
        <f t="shared" si="233"/>
        <v>226</v>
      </c>
      <c r="I483" s="337">
        <f t="shared" si="233"/>
        <v>240</v>
      </c>
      <c r="J483" s="598"/>
      <c r="K483" s="403"/>
      <c r="L483" s="403"/>
    </row>
    <row r="484" spans="1:12">
      <c r="A484" s="314"/>
      <c r="B484" s="330" t="s">
        <v>843</v>
      </c>
      <c r="C484" s="337">
        <f>+'Input Sheet'!D219</f>
        <v>200</v>
      </c>
      <c r="D484" s="337">
        <f>+'Input Sheet'!E219</f>
        <v>210</v>
      </c>
      <c r="E484" s="337">
        <f>+'Input Sheet'!F219</f>
        <v>220</v>
      </c>
      <c r="F484" s="337">
        <f>+'Input Sheet'!G219</f>
        <v>230</v>
      </c>
      <c r="G484" s="337">
        <f>+'Input Sheet'!H219</f>
        <v>240</v>
      </c>
      <c r="H484" s="337">
        <f>+'Input Sheet'!I219</f>
        <v>250</v>
      </c>
      <c r="I484" s="337">
        <f>+'Input Sheet'!J219</f>
        <v>260</v>
      </c>
      <c r="J484" s="598"/>
      <c r="K484" s="403"/>
      <c r="L484" s="403"/>
    </row>
    <row r="485" spans="1:12">
      <c r="A485" s="314"/>
      <c r="B485" s="313" t="s">
        <v>124</v>
      </c>
      <c r="C485" s="338">
        <f>+C482*C483*C484/100000</f>
        <v>4.2</v>
      </c>
      <c r="D485" s="338">
        <f t="shared" ref="D485:I485" si="234">+D482*D483*D484/100000</f>
        <v>4.851</v>
      </c>
      <c r="E485" s="338">
        <f t="shared" si="234"/>
        <v>5.5439999999999996</v>
      </c>
      <c r="F485" s="338">
        <f t="shared" si="234"/>
        <v>6.2789999999999999</v>
      </c>
      <c r="G485" s="338">
        <f t="shared" si="234"/>
        <v>7.056</v>
      </c>
      <c r="H485" s="338">
        <f t="shared" si="234"/>
        <v>8.4749999999999996</v>
      </c>
      <c r="I485" s="338">
        <f t="shared" si="234"/>
        <v>9.984</v>
      </c>
      <c r="J485" s="599"/>
      <c r="K485" s="405"/>
      <c r="L485" s="405"/>
    </row>
    <row r="486" spans="1:12">
      <c r="A486" s="314"/>
      <c r="B486" s="313"/>
      <c r="C486" s="338"/>
      <c r="D486" s="338"/>
      <c r="E486" s="338"/>
      <c r="F486" s="338"/>
      <c r="G486" s="338"/>
      <c r="H486" s="338"/>
      <c r="I486" s="338"/>
      <c r="J486" s="599"/>
      <c r="K486" s="405"/>
      <c r="L486" s="405"/>
    </row>
    <row r="487" spans="1:12">
      <c r="A487" s="336" t="s">
        <v>168</v>
      </c>
      <c r="B487" s="313" t="s">
        <v>844</v>
      </c>
      <c r="C487" s="330">
        <v>10</v>
      </c>
      <c r="D487" s="330">
        <f>+ROUND(C487*1.05,)</f>
        <v>11</v>
      </c>
      <c r="E487" s="330">
        <f t="shared" ref="E487:I487" si="235">+ROUND(D487*1.05,)</f>
        <v>12</v>
      </c>
      <c r="F487" s="330">
        <f t="shared" si="235"/>
        <v>13</v>
      </c>
      <c r="G487" s="330">
        <f t="shared" si="235"/>
        <v>14</v>
      </c>
      <c r="H487" s="330">
        <f t="shared" si="235"/>
        <v>15</v>
      </c>
      <c r="I487" s="330">
        <f t="shared" si="235"/>
        <v>16</v>
      </c>
      <c r="J487" s="597"/>
      <c r="K487" s="402"/>
      <c r="L487" s="402"/>
    </row>
    <row r="488" spans="1:12">
      <c r="A488" s="314"/>
      <c r="B488" s="330" t="s">
        <v>842</v>
      </c>
      <c r="C488" s="337">
        <f>+C483</f>
        <v>210</v>
      </c>
      <c r="D488" s="337">
        <f t="shared" ref="D488:I488" si="236">+D483</f>
        <v>210</v>
      </c>
      <c r="E488" s="337">
        <f t="shared" si="236"/>
        <v>210</v>
      </c>
      <c r="F488" s="337">
        <f t="shared" si="236"/>
        <v>210</v>
      </c>
      <c r="G488" s="337">
        <f t="shared" si="236"/>
        <v>210</v>
      </c>
      <c r="H488" s="337">
        <f t="shared" si="236"/>
        <v>226</v>
      </c>
      <c r="I488" s="337">
        <f t="shared" si="236"/>
        <v>240</v>
      </c>
      <c r="J488" s="598"/>
      <c r="K488" s="403"/>
      <c r="L488" s="403"/>
    </row>
    <row r="489" spans="1:12">
      <c r="A489" s="314"/>
      <c r="B489" s="330" t="s">
        <v>843</v>
      </c>
      <c r="C489" s="337">
        <f>+'Input Sheet'!D222</f>
        <v>100</v>
      </c>
      <c r="D489" s="337">
        <f>+'Input Sheet'!E222</f>
        <v>110</v>
      </c>
      <c r="E489" s="337">
        <f>+'Input Sheet'!F222</f>
        <v>120</v>
      </c>
      <c r="F489" s="337">
        <f>+'Input Sheet'!G222</f>
        <v>130</v>
      </c>
      <c r="G489" s="337">
        <f>+'Input Sheet'!H222</f>
        <v>140</v>
      </c>
      <c r="H489" s="337">
        <f>+'Input Sheet'!I222</f>
        <v>150</v>
      </c>
      <c r="I489" s="337">
        <f>+'Input Sheet'!J222</f>
        <v>160</v>
      </c>
      <c r="J489" s="598"/>
      <c r="K489" s="403"/>
      <c r="L489" s="403"/>
    </row>
    <row r="490" spans="1:12">
      <c r="A490" s="314"/>
      <c r="B490" s="313" t="s">
        <v>124</v>
      </c>
      <c r="C490" s="338">
        <f>+C487*C488*C489/100000</f>
        <v>2.1</v>
      </c>
      <c r="D490" s="338">
        <f t="shared" ref="D490:I490" si="237">+D487*D488*D489/100000</f>
        <v>2.5409999999999999</v>
      </c>
      <c r="E490" s="338">
        <f t="shared" si="237"/>
        <v>3.024</v>
      </c>
      <c r="F490" s="338">
        <f t="shared" si="237"/>
        <v>3.5489999999999999</v>
      </c>
      <c r="G490" s="338">
        <f t="shared" si="237"/>
        <v>4.1159999999999997</v>
      </c>
      <c r="H490" s="338">
        <f t="shared" si="237"/>
        <v>5.085</v>
      </c>
      <c r="I490" s="338">
        <f t="shared" si="237"/>
        <v>6.1440000000000001</v>
      </c>
      <c r="J490" s="599"/>
      <c r="K490" s="405"/>
      <c r="L490" s="405"/>
    </row>
    <row r="491" spans="1:12">
      <c r="A491" s="10"/>
      <c r="B491" s="10"/>
      <c r="C491" s="10"/>
      <c r="D491" s="10"/>
      <c r="E491" s="10"/>
      <c r="F491" s="10"/>
      <c r="G491" s="10"/>
      <c r="H491" s="10"/>
      <c r="I491" s="10"/>
      <c r="J491" s="449"/>
      <c r="K491" s="251"/>
      <c r="L491" s="251"/>
    </row>
    <row r="492" spans="1:12">
      <c r="A492" s="10"/>
      <c r="B492" s="2" t="s">
        <v>845</v>
      </c>
      <c r="C492" s="591">
        <f>+C485+C490</f>
        <v>6.3000000000000007</v>
      </c>
      <c r="D492" s="591">
        <f t="shared" ref="D492:I492" si="238">+D485+D490</f>
        <v>7.3919999999999995</v>
      </c>
      <c r="E492" s="591">
        <f t="shared" si="238"/>
        <v>8.5679999999999996</v>
      </c>
      <c r="F492" s="591">
        <f t="shared" si="238"/>
        <v>9.8279999999999994</v>
      </c>
      <c r="G492" s="591">
        <f t="shared" si="238"/>
        <v>11.172000000000001</v>
      </c>
      <c r="H492" s="591">
        <f t="shared" si="238"/>
        <v>13.559999999999999</v>
      </c>
      <c r="I492" s="591">
        <f t="shared" si="238"/>
        <v>16.128</v>
      </c>
      <c r="J492" s="600"/>
      <c r="K492" s="595"/>
      <c r="L492" s="595"/>
    </row>
    <row r="500" spans="3:5">
      <c r="C500">
        <v>5</v>
      </c>
      <c r="D500" s="363">
        <v>12</v>
      </c>
      <c r="E500" s="363">
        <v>6.5</v>
      </c>
    </row>
    <row r="501" spans="3:5">
      <c r="C501">
        <v>1</v>
      </c>
      <c r="D501" s="363">
        <v>2.2000000000000002</v>
      </c>
      <c r="E501" s="363">
        <v>2</v>
      </c>
    </row>
    <row r="503" spans="3:5">
      <c r="C503">
        <v>500</v>
      </c>
      <c r="D503" s="363">
        <v>3</v>
      </c>
    </row>
    <row r="504" spans="3:5">
      <c r="C504">
        <v>1</v>
      </c>
      <c r="D504" s="363">
        <v>4.5</v>
      </c>
    </row>
  </sheetData>
  <mergeCells count="5">
    <mergeCell ref="A128:I128"/>
    <mergeCell ref="A3:H3"/>
    <mergeCell ref="A76:J76"/>
    <mergeCell ref="A4:H4"/>
    <mergeCell ref="A14:H14"/>
  </mergeCells>
  <pageMargins left="0.25" right="0.25" top="0.75" bottom="0.75" header="0.3" footer="0.3"/>
  <pageSetup paperSize="9" scale="67" fitToHeight="0" orientation="portrait" r:id="rId1"/>
  <rowBreaks count="3" manualBreakCount="3">
    <brk id="73" max="16383" man="1"/>
    <brk id="379" max="9" man="1"/>
    <brk id="407" max="9" man="1"/>
  </rowBreaks>
  <colBreaks count="1" manualBreakCount="1">
    <brk id="10" max="18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51"/>
  <sheetViews>
    <sheetView view="pageBreakPreview" zoomScale="70" zoomScaleSheetLayoutView="70" workbookViewId="0">
      <selection sqref="A1:H1"/>
    </sheetView>
  </sheetViews>
  <sheetFormatPr defaultRowHeight="15"/>
  <cols>
    <col min="1" max="1" width="32.140625" customWidth="1"/>
    <col min="2" max="2" width="23.28515625" bestFit="1" customWidth="1"/>
    <col min="3" max="8" width="12.140625" customWidth="1"/>
    <col min="9" max="9" width="11.42578125" bestFit="1" customWidth="1"/>
    <col min="10" max="10" width="9.140625" bestFit="1" customWidth="1"/>
  </cols>
  <sheetData>
    <row r="1" spans="1:24" ht="18.75">
      <c r="A1" s="676" t="s">
        <v>459</v>
      </c>
      <c r="B1" s="676"/>
      <c r="C1" s="676"/>
      <c r="D1" s="676"/>
      <c r="E1" s="676"/>
      <c r="F1" s="676"/>
      <c r="G1" s="676"/>
      <c r="H1" s="676"/>
    </row>
    <row r="2" spans="1:24">
      <c r="B2" s="4"/>
    </row>
    <row r="3" spans="1:24" ht="18.75">
      <c r="A3" s="717" t="s">
        <v>516</v>
      </c>
      <c r="B3" s="717"/>
    </row>
    <row r="4" spans="1:24">
      <c r="A4" s="245" t="s">
        <v>0</v>
      </c>
      <c r="B4" s="262" t="s">
        <v>378</v>
      </c>
      <c r="C4" s="263"/>
      <c r="D4" s="263"/>
      <c r="E4" s="263"/>
      <c r="F4" s="263"/>
      <c r="G4" s="263"/>
      <c r="H4" s="263"/>
    </row>
    <row r="5" spans="1:24">
      <c r="A5" s="10" t="s">
        <v>457</v>
      </c>
      <c r="B5" s="242">
        <v>0</v>
      </c>
      <c r="C5" s="264"/>
      <c r="D5" s="265"/>
      <c r="E5" s="265"/>
      <c r="F5" s="265"/>
      <c r="G5" s="265"/>
      <c r="H5" s="265"/>
    </row>
    <row r="6" spans="1:24">
      <c r="A6" s="10" t="s">
        <v>458</v>
      </c>
      <c r="B6" s="242">
        <v>0</v>
      </c>
      <c r="C6" s="264"/>
      <c r="D6" s="265"/>
      <c r="E6" s="265"/>
      <c r="F6" s="265"/>
      <c r="G6" s="265"/>
      <c r="H6" s="265"/>
    </row>
    <row r="7" spans="1:24">
      <c r="A7" s="2" t="s">
        <v>1</v>
      </c>
      <c r="B7" s="281">
        <f>B5+B6</f>
        <v>0</v>
      </c>
      <c r="C7" s="266"/>
      <c r="D7" s="267"/>
      <c r="E7" s="267"/>
      <c r="F7" s="267"/>
      <c r="G7" s="267"/>
      <c r="H7" s="267"/>
    </row>
    <row r="8" spans="1:24">
      <c r="A8" s="2" t="s">
        <v>637</v>
      </c>
      <c r="B8" s="280">
        <v>2</v>
      </c>
      <c r="C8" s="266"/>
      <c r="D8" s="266"/>
      <c r="E8" s="266"/>
      <c r="F8" s="266"/>
      <c r="G8" s="266"/>
      <c r="H8" s="266"/>
    </row>
    <row r="9" spans="1:24">
      <c r="A9" s="2" t="s">
        <v>638</v>
      </c>
      <c r="B9" s="281">
        <f>+B7*B8</f>
        <v>0</v>
      </c>
      <c r="C9" s="267"/>
      <c r="D9" s="267"/>
      <c r="E9" s="267"/>
      <c r="F9" s="267"/>
      <c r="G9" s="267"/>
      <c r="H9" s="267"/>
    </row>
    <row r="11" spans="1:24" ht="18.75">
      <c r="A11" s="676" t="s">
        <v>517</v>
      </c>
      <c r="B11" s="676"/>
      <c r="C11" s="676"/>
      <c r="D11" s="676"/>
      <c r="E11" s="676"/>
      <c r="F11" s="676"/>
      <c r="G11" s="676"/>
      <c r="H11" s="676"/>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639</v>
      </c>
      <c r="E13" s="246" t="s">
        <v>797</v>
      </c>
      <c r="F13" s="246" t="s">
        <v>798</v>
      </c>
      <c r="G13" s="246" t="s">
        <v>582</v>
      </c>
      <c r="H13" s="246" t="s">
        <v>799</v>
      </c>
      <c r="O13" s="258"/>
      <c r="P13" s="258"/>
      <c r="Q13" s="258"/>
      <c r="R13" s="258"/>
      <c r="S13" s="258"/>
      <c r="T13" s="258"/>
      <c r="U13" s="258"/>
      <c r="V13" s="258"/>
      <c r="W13" s="258"/>
      <c r="X13" s="258"/>
    </row>
    <row r="14" spans="1:24">
      <c r="A14" s="718" t="s">
        <v>382</v>
      </c>
      <c r="B14" s="242" t="s">
        <v>634</v>
      </c>
      <c r="C14" s="256">
        <v>0.18</v>
      </c>
      <c r="D14" s="530">
        <f>+$B$9*C14</f>
        <v>0</v>
      </c>
      <c r="E14" s="243">
        <v>2.5</v>
      </c>
      <c r="F14" s="10">
        <f>+D14*E14</f>
        <v>0</v>
      </c>
      <c r="G14" s="257">
        <v>0.2</v>
      </c>
      <c r="H14" s="609">
        <f>+F14*0.8</f>
        <v>0</v>
      </c>
      <c r="J14" s="529">
        <f>450+'13.Facility 2 Grain Processing-'!B32</f>
        <v>1256</v>
      </c>
    </row>
    <row r="15" spans="1:24">
      <c r="A15" s="719"/>
      <c r="B15" s="242" t="s">
        <v>455</v>
      </c>
      <c r="C15" s="256">
        <v>0.13063063063063063</v>
      </c>
      <c r="D15" s="530">
        <f t="shared" ref="D15:D18" si="0">+$B$9*C15</f>
        <v>0</v>
      </c>
      <c r="E15" s="243">
        <v>3.7</v>
      </c>
      <c r="F15" s="10">
        <f t="shared" ref="F15:F18" si="1">+D15*E15</f>
        <v>0</v>
      </c>
      <c r="G15" s="257">
        <v>0.2</v>
      </c>
      <c r="H15" s="609">
        <f t="shared" ref="H15:H18" si="2">+F15*0.8</f>
        <v>0</v>
      </c>
      <c r="I15" s="319"/>
      <c r="J15" s="529">
        <f>450+'13.Facility 2 Grain Processing-'!B33</f>
        <v>1256</v>
      </c>
    </row>
    <row r="16" spans="1:24">
      <c r="A16" s="719"/>
      <c r="B16" s="242" t="s">
        <v>635</v>
      </c>
      <c r="C16" s="256">
        <v>0.01</v>
      </c>
      <c r="D16" s="530">
        <f t="shared" si="0"/>
        <v>0</v>
      </c>
      <c r="E16" s="243">
        <v>25</v>
      </c>
      <c r="F16" s="10">
        <f t="shared" si="1"/>
        <v>0</v>
      </c>
      <c r="G16" s="257">
        <v>0.2</v>
      </c>
      <c r="H16" s="609">
        <f t="shared" si="2"/>
        <v>0</v>
      </c>
      <c r="J16" s="529">
        <f>450+'13.Facility 2 Grain Processing-'!B34</f>
        <v>450</v>
      </c>
    </row>
    <row r="17" spans="1:10">
      <c r="A17" s="279"/>
      <c r="B17" s="278" t="s">
        <v>636</v>
      </c>
      <c r="C17" s="256">
        <v>0</v>
      </c>
      <c r="D17" s="530">
        <f t="shared" si="0"/>
        <v>0</v>
      </c>
      <c r="E17" s="243">
        <v>0</v>
      </c>
      <c r="F17" s="10">
        <f t="shared" si="1"/>
        <v>0</v>
      </c>
      <c r="G17" s="257">
        <v>0.2</v>
      </c>
      <c r="H17" s="609">
        <f t="shared" si="2"/>
        <v>0</v>
      </c>
      <c r="J17" s="529">
        <v>0</v>
      </c>
    </row>
    <row r="18" spans="1:10">
      <c r="A18" s="279" t="s">
        <v>460</v>
      </c>
      <c r="B18" s="278" t="s">
        <v>849</v>
      </c>
      <c r="C18" s="256">
        <v>9.4594594594594582E-3</v>
      </c>
      <c r="D18" s="530">
        <f t="shared" si="0"/>
        <v>0</v>
      </c>
      <c r="E18" s="243">
        <v>37</v>
      </c>
      <c r="F18" s="10">
        <f t="shared" si="1"/>
        <v>0</v>
      </c>
      <c r="G18" s="257">
        <v>0.2</v>
      </c>
      <c r="H18" s="609">
        <f t="shared" si="2"/>
        <v>0</v>
      </c>
      <c r="J18" s="529">
        <f>450+'13.Facility 2 Grain Processing-'!B36</f>
        <v>450</v>
      </c>
    </row>
    <row r="19" spans="1:10">
      <c r="A19" s="279" t="s">
        <v>461</v>
      </c>
      <c r="B19" s="278"/>
      <c r="C19" s="242">
        <v>0</v>
      </c>
      <c r="D19" s="530"/>
      <c r="E19" s="243"/>
      <c r="F19" s="10"/>
      <c r="G19" s="257"/>
      <c r="H19" s="10"/>
    </row>
    <row r="20" spans="1:10">
      <c r="A20" s="720" t="s">
        <v>383</v>
      </c>
      <c r="B20" s="720"/>
      <c r="C20" s="720"/>
      <c r="D20" s="720"/>
      <c r="E20" s="720"/>
      <c r="F20" s="720"/>
      <c r="G20" s="720"/>
      <c r="H20" s="720"/>
    </row>
    <row r="22" spans="1:10" ht="18.75">
      <c r="A22" s="721" t="s">
        <v>518</v>
      </c>
      <c r="B22" s="722"/>
      <c r="C22" s="722"/>
      <c r="D22" s="722"/>
      <c r="E22" s="722"/>
      <c r="F22" s="722"/>
      <c r="G22" s="722"/>
      <c r="H22" s="723"/>
    </row>
    <row r="23" spans="1:10">
      <c r="A23" s="724" t="s">
        <v>0</v>
      </c>
      <c r="B23" s="270">
        <v>0.5</v>
      </c>
      <c r="C23" s="270">
        <f>+B23+5%</f>
        <v>0.55000000000000004</v>
      </c>
      <c r="D23" s="270">
        <f t="shared" ref="D23:H23" si="3">+C23+5%</f>
        <v>0.60000000000000009</v>
      </c>
      <c r="E23" s="270">
        <f t="shared" si="3"/>
        <v>0.65000000000000013</v>
      </c>
      <c r="F23" s="270">
        <f t="shared" si="3"/>
        <v>0.70000000000000018</v>
      </c>
      <c r="G23" s="270">
        <f t="shared" si="3"/>
        <v>0.75000000000000022</v>
      </c>
      <c r="H23" s="270">
        <f t="shared" si="3"/>
        <v>0.80000000000000027</v>
      </c>
    </row>
    <row r="24" spans="1:10">
      <c r="A24" s="725"/>
      <c r="B24" s="262" t="s">
        <v>2</v>
      </c>
      <c r="C24" s="262" t="s">
        <v>3</v>
      </c>
      <c r="D24" s="262" t="s">
        <v>4</v>
      </c>
      <c r="E24" s="262" t="s">
        <v>5</v>
      </c>
      <c r="F24" s="262" t="s">
        <v>6</v>
      </c>
      <c r="G24" s="262" t="s">
        <v>163</v>
      </c>
      <c r="H24" s="262" t="s">
        <v>162</v>
      </c>
    </row>
    <row r="25" spans="1:10">
      <c r="A25" s="10" t="str">
        <f>B14</f>
        <v>Okra</v>
      </c>
      <c r="B25" s="10">
        <v>0</v>
      </c>
      <c r="C25" s="10">
        <f t="shared" ref="C25:H26" si="4">(B25/B$23)*C$23</f>
        <v>0</v>
      </c>
      <c r="D25" s="10">
        <f t="shared" si="4"/>
        <v>0</v>
      </c>
      <c r="E25" s="10">
        <f t="shared" si="4"/>
        <v>0</v>
      </c>
      <c r="F25" s="10">
        <f t="shared" si="4"/>
        <v>0</v>
      </c>
      <c r="G25" s="10">
        <f t="shared" si="4"/>
        <v>0</v>
      </c>
      <c r="H25" s="10">
        <f t="shared" si="4"/>
        <v>0</v>
      </c>
    </row>
    <row r="26" spans="1:10">
      <c r="A26" s="10" t="str">
        <f>B15</f>
        <v>Chilli</v>
      </c>
      <c r="B26" s="10">
        <f>+B25</f>
        <v>0</v>
      </c>
      <c r="C26" s="10">
        <f t="shared" si="4"/>
        <v>0</v>
      </c>
      <c r="D26" s="10">
        <f t="shared" si="4"/>
        <v>0</v>
      </c>
      <c r="E26" s="10">
        <f t="shared" si="4"/>
        <v>0</v>
      </c>
      <c r="F26" s="10">
        <f t="shared" si="4"/>
        <v>0</v>
      </c>
      <c r="G26" s="10">
        <f t="shared" si="4"/>
        <v>0</v>
      </c>
      <c r="H26" s="10">
        <f t="shared" si="4"/>
        <v>0</v>
      </c>
    </row>
    <row r="27" spans="1:10">
      <c r="A27" s="10" t="str">
        <f>B16</f>
        <v>Tomato</v>
      </c>
      <c r="B27" s="10">
        <f t="shared" ref="B27" si="5">+B26</f>
        <v>0</v>
      </c>
      <c r="C27" s="10">
        <f t="shared" ref="C27:C29" si="6">(B27/B$23)*C$23</f>
        <v>0</v>
      </c>
      <c r="D27" s="10">
        <f t="shared" ref="D27:D29" si="7">(C27/C$23)*D$23</f>
        <v>0</v>
      </c>
      <c r="E27" s="10">
        <f t="shared" ref="E27:E29" si="8">(D27/D$23)*E$23</f>
        <v>0</v>
      </c>
      <c r="F27" s="10">
        <f t="shared" ref="F27:F29" si="9">(E27/E$23)*F$23</f>
        <v>0</v>
      </c>
      <c r="G27" s="10">
        <f t="shared" ref="G27:G29" si="10">(F27/F$23)*G$23</f>
        <v>0</v>
      </c>
      <c r="H27" s="10">
        <f t="shared" ref="H27:H29" si="11">(G27/G$23)*H$23</f>
        <v>0</v>
      </c>
    </row>
    <row r="28" spans="1:10">
      <c r="A28" s="10" t="str">
        <f>B17</f>
        <v>Bitter Gourd</v>
      </c>
      <c r="B28" s="10">
        <v>0</v>
      </c>
      <c r="C28" s="10">
        <f t="shared" si="6"/>
        <v>0</v>
      </c>
      <c r="D28" s="10">
        <f t="shared" si="7"/>
        <v>0</v>
      </c>
      <c r="E28" s="10">
        <f t="shared" si="8"/>
        <v>0</v>
      </c>
      <c r="F28" s="10">
        <f t="shared" si="9"/>
        <v>0</v>
      </c>
      <c r="G28" s="10">
        <f t="shared" si="10"/>
        <v>0</v>
      </c>
      <c r="H28" s="10">
        <f t="shared" si="11"/>
        <v>0</v>
      </c>
    </row>
    <row r="29" spans="1:10">
      <c r="A29" s="10" t="str">
        <f>B18</f>
        <v>Curliflower</v>
      </c>
      <c r="B29" s="10">
        <f>+B27</f>
        <v>0</v>
      </c>
      <c r="C29" s="10">
        <f t="shared" si="6"/>
        <v>0</v>
      </c>
      <c r="D29" s="10">
        <f t="shared" si="7"/>
        <v>0</v>
      </c>
      <c r="E29" s="10">
        <f t="shared" si="8"/>
        <v>0</v>
      </c>
      <c r="F29" s="10">
        <f t="shared" si="9"/>
        <v>0</v>
      </c>
      <c r="G29" s="10">
        <f t="shared" si="10"/>
        <v>0</v>
      </c>
      <c r="H29" s="10">
        <f t="shared" si="11"/>
        <v>0</v>
      </c>
    </row>
    <row r="30" spans="1:10">
      <c r="A30" s="320"/>
      <c r="B30" s="321"/>
      <c r="C30" s="321"/>
      <c r="D30" s="321"/>
      <c r="E30" s="321"/>
      <c r="F30" s="321"/>
      <c r="G30" s="321"/>
      <c r="H30" s="322"/>
    </row>
    <row r="31" spans="1:10" ht="18.75">
      <c r="A31" s="710" t="s">
        <v>519</v>
      </c>
      <c r="B31" s="711"/>
      <c r="C31" s="711"/>
      <c r="D31" s="711"/>
      <c r="E31" s="711"/>
      <c r="F31" s="711"/>
      <c r="G31" s="711"/>
      <c r="H31" s="712"/>
    </row>
    <row r="32" spans="1:10">
      <c r="A32" s="713" t="s">
        <v>0</v>
      </c>
      <c r="B32" s="270">
        <v>0.5</v>
      </c>
      <c r="C32" s="531">
        <v>0.6</v>
      </c>
      <c r="D32" s="531">
        <v>0.69090909090909092</v>
      </c>
      <c r="E32" s="531">
        <v>0.77424242424242429</v>
      </c>
      <c r="F32" s="531">
        <v>0.85116550116550127</v>
      </c>
      <c r="G32" s="531">
        <v>0.92259407259407267</v>
      </c>
      <c r="H32" s="531">
        <v>0.98926073926073932</v>
      </c>
    </row>
    <row r="33" spans="1:9">
      <c r="A33" s="714"/>
      <c r="B33" s="262" t="s">
        <v>2</v>
      </c>
      <c r="C33" s="262" t="s">
        <v>3</v>
      </c>
      <c r="D33" s="262" t="s">
        <v>4</v>
      </c>
      <c r="E33" s="262" t="s">
        <v>5</v>
      </c>
      <c r="F33" s="262" t="s">
        <v>6</v>
      </c>
      <c r="G33" s="262" t="s">
        <v>163</v>
      </c>
      <c r="H33" s="262" t="s">
        <v>162</v>
      </c>
    </row>
    <row r="34" spans="1:9" s="13" customFormat="1">
      <c r="A34" s="10" t="str">
        <f>+B14</f>
        <v>Okra</v>
      </c>
      <c r="B34" s="10">
        <v>0</v>
      </c>
      <c r="C34" s="10">
        <f t="shared" ref="C34:H34" si="12">+B34*(1+C$32-B$32)</f>
        <v>0</v>
      </c>
      <c r="D34" s="10">
        <f t="shared" si="12"/>
        <v>0</v>
      </c>
      <c r="E34" s="10">
        <f t="shared" si="12"/>
        <v>0</v>
      </c>
      <c r="F34" s="10">
        <f t="shared" si="12"/>
        <v>0</v>
      </c>
      <c r="G34" s="10">
        <f t="shared" si="12"/>
        <v>0</v>
      </c>
      <c r="H34" s="10">
        <f t="shared" si="12"/>
        <v>0</v>
      </c>
    </row>
    <row r="35" spans="1:9">
      <c r="A35" s="10" t="str">
        <f>A26</f>
        <v>Chilli</v>
      </c>
      <c r="B35" s="10">
        <f>+'13.Facility 2 Grain Processing-'!B36</f>
        <v>0</v>
      </c>
      <c r="C35" s="10">
        <f t="shared" ref="C35:H35" si="13">+B35*(1+C$32-B$32)</f>
        <v>0</v>
      </c>
      <c r="D35" s="10">
        <f t="shared" si="13"/>
        <v>0</v>
      </c>
      <c r="E35" s="10">
        <f t="shared" si="13"/>
        <v>0</v>
      </c>
      <c r="F35" s="10">
        <f t="shared" si="13"/>
        <v>0</v>
      </c>
      <c r="G35" s="10">
        <f t="shared" si="13"/>
        <v>0</v>
      </c>
      <c r="H35" s="10">
        <f t="shared" si="13"/>
        <v>0</v>
      </c>
    </row>
    <row r="36" spans="1:9">
      <c r="A36" s="10" t="str">
        <f t="shared" ref="A36:A39" si="14">A27</f>
        <v>Tomato</v>
      </c>
      <c r="B36" s="10">
        <f>+'13.Facility 2 Grain Processing-'!B35</f>
        <v>403</v>
      </c>
      <c r="C36" s="10">
        <f t="shared" ref="C36:H36" si="15">+B36*(1+C$32-B$32)</f>
        <v>443.3</v>
      </c>
      <c r="D36" s="10">
        <f t="shared" si="15"/>
        <v>483.59999999999997</v>
      </c>
      <c r="E36" s="10">
        <f t="shared" si="15"/>
        <v>523.90000000000009</v>
      </c>
      <c r="F36" s="10">
        <f t="shared" si="15"/>
        <v>564.20000000000016</v>
      </c>
      <c r="G36" s="10">
        <f t="shared" si="15"/>
        <v>604.50000000000011</v>
      </c>
      <c r="H36" s="10">
        <f t="shared" si="15"/>
        <v>644.80000000000007</v>
      </c>
    </row>
    <row r="37" spans="1:9">
      <c r="A37" s="10" t="str">
        <f t="shared" si="14"/>
        <v>Bitter Gourd</v>
      </c>
      <c r="B37" s="10">
        <v>0</v>
      </c>
      <c r="C37" s="10">
        <f t="shared" ref="C37:H37" si="16">+B37*(1+C$32-B$32)</f>
        <v>0</v>
      </c>
      <c r="D37" s="10">
        <f t="shared" si="16"/>
        <v>0</v>
      </c>
      <c r="E37" s="10">
        <f t="shared" si="16"/>
        <v>0</v>
      </c>
      <c r="F37" s="10">
        <f t="shared" si="16"/>
        <v>0</v>
      </c>
      <c r="G37" s="10">
        <f t="shared" si="16"/>
        <v>0</v>
      </c>
      <c r="H37" s="10">
        <f t="shared" si="16"/>
        <v>0</v>
      </c>
    </row>
    <row r="38" spans="1:9">
      <c r="A38" s="10" t="str">
        <f t="shared" si="14"/>
        <v>Curliflower</v>
      </c>
      <c r="C38" s="10">
        <v>0</v>
      </c>
      <c r="D38" s="10">
        <v>0</v>
      </c>
      <c r="E38" s="10">
        <v>0</v>
      </c>
      <c r="F38" s="10">
        <v>0</v>
      </c>
      <c r="G38" s="10">
        <v>0</v>
      </c>
      <c r="H38" s="10">
        <v>0</v>
      </c>
    </row>
    <row r="39" spans="1:9">
      <c r="A39" s="10">
        <f t="shared" si="14"/>
        <v>0</v>
      </c>
      <c r="B39" s="10">
        <f t="shared" ref="B39:H39" si="17">SUM(B34:B38)</f>
        <v>403</v>
      </c>
      <c r="C39" s="10">
        <f>SUM(C34:C38)</f>
        <v>443.3</v>
      </c>
      <c r="D39" s="10">
        <f>SUM(D34:D38)</f>
        <v>483.59999999999997</v>
      </c>
      <c r="E39" s="10">
        <f t="shared" si="17"/>
        <v>523.90000000000009</v>
      </c>
      <c r="F39" s="10">
        <f t="shared" si="17"/>
        <v>564.20000000000016</v>
      </c>
      <c r="G39" s="10">
        <f t="shared" si="17"/>
        <v>604.50000000000011</v>
      </c>
      <c r="H39" s="10">
        <f t="shared" si="17"/>
        <v>644.80000000000007</v>
      </c>
    </row>
    <row r="40" spans="1:9">
      <c r="A40" s="320"/>
      <c r="B40" s="321"/>
      <c r="C40" s="321"/>
      <c r="D40" s="321"/>
      <c r="E40" s="321"/>
      <c r="F40" s="321"/>
      <c r="G40" s="321"/>
      <c r="H40" s="322"/>
    </row>
    <row r="41" spans="1:9" ht="18.75">
      <c r="A41" s="710" t="s">
        <v>520</v>
      </c>
      <c r="B41" s="711"/>
      <c r="C41" s="711"/>
      <c r="D41" s="711"/>
      <c r="E41" s="711"/>
      <c r="F41" s="711"/>
      <c r="G41" s="711"/>
      <c r="H41" s="712"/>
    </row>
    <row r="42" spans="1:9">
      <c r="A42" s="715" t="s">
        <v>0</v>
      </c>
      <c r="B42" s="287">
        <v>1</v>
      </c>
      <c r="C42" s="287">
        <v>1</v>
      </c>
      <c r="D42" s="287">
        <v>1</v>
      </c>
      <c r="E42" s="287">
        <v>1</v>
      </c>
      <c r="F42" s="287">
        <v>1</v>
      </c>
      <c r="G42" s="287">
        <v>1</v>
      </c>
      <c r="H42" s="287">
        <v>1</v>
      </c>
    </row>
    <row r="43" spans="1:9">
      <c r="A43" s="716"/>
      <c r="B43" s="262" t="s">
        <v>2</v>
      </c>
      <c r="C43" s="262" t="s">
        <v>3</v>
      </c>
      <c r="D43" s="262" t="s">
        <v>4</v>
      </c>
      <c r="E43" s="262" t="s">
        <v>5</v>
      </c>
      <c r="F43" s="262" t="s">
        <v>6</v>
      </c>
      <c r="G43" s="262" t="s">
        <v>163</v>
      </c>
      <c r="H43" s="262" t="s">
        <v>162</v>
      </c>
    </row>
    <row r="44" spans="1:9" s="13" customFormat="1">
      <c r="A44" s="10"/>
      <c r="B44" s="10"/>
      <c r="C44" s="260"/>
      <c r="D44" s="260"/>
      <c r="E44" s="260"/>
      <c r="F44" s="260"/>
      <c r="G44" s="260"/>
      <c r="H44" s="260"/>
    </row>
    <row r="45" spans="1:9">
      <c r="A45" s="10" t="str">
        <f>A35</f>
        <v>Chilli</v>
      </c>
      <c r="B45" s="10">
        <v>0</v>
      </c>
      <c r="C45" s="260">
        <v>0</v>
      </c>
      <c r="D45" s="260">
        <f t="shared" ref="D45:H45" si="18">(C45/C$42)*D$42</f>
        <v>0</v>
      </c>
      <c r="E45" s="260">
        <f t="shared" si="18"/>
        <v>0</v>
      </c>
      <c r="F45" s="260">
        <f t="shared" si="18"/>
        <v>0</v>
      </c>
      <c r="G45" s="260">
        <f t="shared" si="18"/>
        <v>0</v>
      </c>
      <c r="H45" s="260">
        <f t="shared" si="18"/>
        <v>0</v>
      </c>
    </row>
    <row r="47" spans="1:9">
      <c r="C47" s="4"/>
      <c r="D47" s="6"/>
      <c r="E47" s="6"/>
      <c r="F47" s="6"/>
      <c r="G47" s="6"/>
      <c r="H47" s="6"/>
      <c r="I47" s="6"/>
    </row>
    <row r="48" spans="1:9">
      <c r="A48" t="s">
        <v>485</v>
      </c>
      <c r="C48" s="269"/>
      <c r="D48" s="269"/>
      <c r="E48" s="269"/>
      <c r="F48" s="269"/>
      <c r="G48" s="269"/>
      <c r="H48" s="269"/>
      <c r="I48" s="269"/>
    </row>
    <row r="49" spans="1:2">
      <c r="A49">
        <v>1</v>
      </c>
      <c r="B49" t="s">
        <v>486</v>
      </c>
    </row>
    <row r="50" spans="1:2">
      <c r="A50">
        <v>2</v>
      </c>
      <c r="B50" t="s">
        <v>487</v>
      </c>
    </row>
    <row r="51" spans="1:2">
      <c r="A51">
        <v>3</v>
      </c>
      <c r="B51" t="s">
        <v>488</v>
      </c>
    </row>
  </sheetData>
  <mergeCells count="11">
    <mergeCell ref="A1:H1"/>
    <mergeCell ref="A22:H22"/>
    <mergeCell ref="A23:A24"/>
    <mergeCell ref="A31:H31"/>
    <mergeCell ref="A32:A33"/>
    <mergeCell ref="A41:H41"/>
    <mergeCell ref="A42:A43"/>
    <mergeCell ref="A3:B3"/>
    <mergeCell ref="A11:H11"/>
    <mergeCell ref="A20:H20"/>
    <mergeCell ref="A14:A16"/>
  </mergeCells>
  <pageMargins left="0.7" right="0.7" top="0.75" bottom="0.75" header="0.3" footer="0.3"/>
  <pageSetup scale="95" fitToHeight="0" orientation="landscape" horizontalDpi="4294967293" r:id="rId1"/>
  <rowBreaks count="1" manualBreakCount="1">
    <brk id="30" max="7"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view="pageBreakPreview" zoomScale="70" zoomScaleSheetLayoutView="70" workbookViewId="0">
      <selection activeCell="G168" sqref="G168"/>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676" t="s">
        <v>521</v>
      </c>
      <c r="B2" s="676"/>
      <c r="C2" s="676"/>
      <c r="D2" s="676"/>
      <c r="E2" s="676"/>
      <c r="F2" s="676"/>
      <c r="G2" s="676"/>
      <c r="H2" s="676"/>
    </row>
    <row r="3" spans="1:8" ht="18.75">
      <c r="A3" s="676" t="s">
        <v>522</v>
      </c>
      <c r="B3" s="676"/>
      <c r="C3" s="676"/>
      <c r="D3" s="676"/>
      <c r="E3" s="676"/>
      <c r="F3" s="676"/>
      <c r="G3" s="676"/>
      <c r="H3" s="676"/>
    </row>
    <row r="4" spans="1:8">
      <c r="B4" s="79"/>
      <c r="C4" s="79"/>
      <c r="D4" s="79"/>
      <c r="E4" s="79"/>
      <c r="F4" s="677" t="s">
        <v>452</v>
      </c>
      <c r="G4" s="677"/>
      <c r="H4" s="677"/>
    </row>
    <row r="5" spans="1:8">
      <c r="A5" s="79" t="s">
        <v>156</v>
      </c>
      <c r="B5" s="208">
        <f>(2*1000)/100</f>
        <v>20</v>
      </c>
      <c r="C5" s="79" t="s">
        <v>435</v>
      </c>
      <c r="D5" s="79"/>
      <c r="E5" s="79"/>
      <c r="F5" s="245" t="s">
        <v>453</v>
      </c>
      <c r="G5" s="245" t="s">
        <v>454</v>
      </c>
      <c r="H5" s="79"/>
    </row>
    <row r="6" spans="1:8">
      <c r="A6" s="79" t="s">
        <v>157</v>
      </c>
      <c r="B6" s="236">
        <v>8</v>
      </c>
      <c r="C6" s="79"/>
      <c r="D6" s="79"/>
      <c r="E6" s="79"/>
      <c r="F6" s="10" t="s">
        <v>450</v>
      </c>
      <c r="G6" s="275">
        <v>0.03</v>
      </c>
      <c r="H6" s="79"/>
    </row>
    <row r="7" spans="1:8">
      <c r="A7" s="79"/>
      <c r="B7" s="79"/>
      <c r="C7" s="79"/>
      <c r="D7" s="79"/>
      <c r="E7" s="79"/>
      <c r="F7" s="10" t="s">
        <v>451</v>
      </c>
      <c r="G7" s="275">
        <v>0.05</v>
      </c>
      <c r="H7" s="79"/>
    </row>
    <row r="8" spans="1:8">
      <c r="A8" s="79" t="s">
        <v>474</v>
      </c>
      <c r="B8" s="79">
        <v>300</v>
      </c>
      <c r="C8" s="79"/>
      <c r="D8" s="79"/>
      <c r="E8" s="79"/>
      <c r="F8" s="10"/>
      <c r="G8" s="275"/>
      <c r="H8" s="79"/>
    </row>
    <row r="9" spans="1:8">
      <c r="A9" s="122" t="s">
        <v>0</v>
      </c>
      <c r="B9" s="102" t="s">
        <v>2</v>
      </c>
      <c r="C9" s="102" t="s">
        <v>3</v>
      </c>
      <c r="D9" s="102" t="s">
        <v>4</v>
      </c>
      <c r="E9" s="102" t="s">
        <v>5</v>
      </c>
      <c r="F9" s="102" t="s">
        <v>6</v>
      </c>
      <c r="G9" s="102" t="s">
        <v>163</v>
      </c>
      <c r="H9" s="102" t="s">
        <v>162</v>
      </c>
    </row>
    <row r="10" spans="1:8">
      <c r="A10" s="80" t="s">
        <v>434</v>
      </c>
      <c r="B10" s="254" t="e">
        <f>B33/($B$5*$B$6)</f>
        <v>#REF!</v>
      </c>
      <c r="C10" s="254" t="e">
        <f t="shared" ref="C10:H10" si="0">C33/($B$5*$B$6)</f>
        <v>#REF!</v>
      </c>
      <c r="D10" s="254" t="e">
        <f t="shared" si="0"/>
        <v>#REF!</v>
      </c>
      <c r="E10" s="254" t="e">
        <f t="shared" si="0"/>
        <v>#REF!</v>
      </c>
      <c r="F10" s="254" t="e">
        <f t="shared" si="0"/>
        <v>#REF!</v>
      </c>
      <c r="G10" s="254" t="e">
        <f t="shared" si="0"/>
        <v>#REF!</v>
      </c>
      <c r="H10" s="254" t="e">
        <f t="shared" si="0"/>
        <v>#REF!</v>
      </c>
    </row>
    <row r="11" spans="1:8">
      <c r="A11" s="163" t="e">
        <f>'10.Grain Production details'!#REF!</f>
        <v>#REF!</v>
      </c>
      <c r="B11" s="163" t="e">
        <f>'10.Grain Production details'!#REF!</f>
        <v>#REF!</v>
      </c>
      <c r="C11" s="163" t="e">
        <f>'10.Grain Production details'!#REF!</f>
        <v>#REF!</v>
      </c>
      <c r="D11" s="163" t="e">
        <f>'10.Grain Production details'!#REF!</f>
        <v>#REF!</v>
      </c>
      <c r="E11" s="163" t="e">
        <f>'10.Grain Production details'!#REF!</f>
        <v>#REF!</v>
      </c>
      <c r="F11" s="163" t="e">
        <f>'10.Grain Production details'!#REF!</f>
        <v>#REF!</v>
      </c>
      <c r="G11" s="163" t="e">
        <f>'10.Grain Production details'!#REF!</f>
        <v>#REF!</v>
      </c>
      <c r="H11" s="163" t="e">
        <f>'10.Grain Production details'!#REF!</f>
        <v>#REF!</v>
      </c>
    </row>
    <row r="12" spans="1:8">
      <c r="A12" s="163" t="e">
        <f>'10.Grain Production details'!#REF!</f>
        <v>#REF!</v>
      </c>
      <c r="B12" s="163" t="e">
        <f>'10.Grain Production details'!#REF!</f>
        <v>#REF!</v>
      </c>
      <c r="C12" s="163" t="e">
        <f>'10.Grain Production details'!#REF!</f>
        <v>#REF!</v>
      </c>
      <c r="D12" s="163" t="e">
        <f>'10.Grain Production details'!#REF!</f>
        <v>#REF!</v>
      </c>
      <c r="E12" s="163" t="e">
        <f>'10.Grain Production details'!#REF!</f>
        <v>#REF!</v>
      </c>
      <c r="F12" s="163" t="e">
        <f>'10.Grain Production details'!#REF!</f>
        <v>#REF!</v>
      </c>
      <c r="G12" s="163" t="e">
        <f>'10.Grain Production details'!#REF!</f>
        <v>#REF!</v>
      </c>
      <c r="H12" s="163" t="e">
        <f>'10.Grain Production details'!#REF!</f>
        <v>#REF!</v>
      </c>
    </row>
    <row r="13" spans="1:8">
      <c r="A13" s="163" t="e">
        <f>'10.Grain Production details'!#REF!</f>
        <v>#REF!</v>
      </c>
      <c r="B13" s="163" t="e">
        <f>'10.Grain Production details'!#REF!</f>
        <v>#REF!</v>
      </c>
      <c r="C13" s="163" t="e">
        <f>'10.Grain Production details'!#REF!</f>
        <v>#REF!</v>
      </c>
      <c r="D13" s="163" t="e">
        <f>'10.Grain Production details'!#REF!</f>
        <v>#REF!</v>
      </c>
      <c r="E13" s="163" t="e">
        <f>'10.Grain Production details'!#REF!</f>
        <v>#REF!</v>
      </c>
      <c r="F13" s="163" t="e">
        <f>'10.Grain Production details'!#REF!</f>
        <v>#REF!</v>
      </c>
      <c r="G13" s="163" t="e">
        <f>'10.Grain Production details'!#REF!</f>
        <v>#REF!</v>
      </c>
      <c r="H13" s="163" t="e">
        <f>'10.Grain Production details'!#REF!</f>
        <v>#REF!</v>
      </c>
    </row>
    <row r="14" spans="1:8">
      <c r="A14" s="163" t="e">
        <f>'10.Grain Production details'!#REF!</f>
        <v>#REF!</v>
      </c>
      <c r="B14" s="163" t="e">
        <f>'10.Grain Production details'!#REF!</f>
        <v>#REF!</v>
      </c>
      <c r="C14" s="163" t="e">
        <f>'10.Grain Production details'!#REF!</f>
        <v>#REF!</v>
      </c>
      <c r="D14" s="163" t="e">
        <f>'10.Grain Production details'!#REF!</f>
        <v>#REF!</v>
      </c>
      <c r="E14" s="163" t="e">
        <f>'10.Grain Production details'!#REF!</f>
        <v>#REF!</v>
      </c>
      <c r="F14" s="163" t="e">
        <f>'10.Grain Production details'!#REF!</f>
        <v>#REF!</v>
      </c>
      <c r="G14" s="163" t="e">
        <f>'10.Grain Production details'!#REF!</f>
        <v>#REF!</v>
      </c>
      <c r="H14" s="163" t="e">
        <f>'10.Grain Production details'!#REF!</f>
        <v>#REF!</v>
      </c>
    </row>
    <row r="15" spans="1:8">
      <c r="A15" s="163" t="e">
        <f>'10.Grain Production details'!#REF!</f>
        <v>#REF!</v>
      </c>
      <c r="B15" s="163" t="e">
        <f>'10.Grain Production details'!#REF!</f>
        <v>#REF!</v>
      </c>
      <c r="C15" s="163" t="e">
        <f>'10.Grain Production details'!#REF!</f>
        <v>#REF!</v>
      </c>
      <c r="D15" s="163" t="e">
        <f>'10.Grain Production details'!#REF!</f>
        <v>#REF!</v>
      </c>
      <c r="E15" s="163" t="e">
        <f>'10.Grain Production details'!#REF!</f>
        <v>#REF!</v>
      </c>
      <c r="F15" s="163" t="e">
        <f>'10.Grain Production details'!#REF!</f>
        <v>#REF!</v>
      </c>
      <c r="G15" s="163" t="e">
        <f>'10.Grain Production details'!#REF!</f>
        <v>#REF!</v>
      </c>
      <c r="H15" s="163" t="e">
        <f>'10.Grain Production details'!#REF!</f>
        <v>#REF!</v>
      </c>
    </row>
    <row r="16" spans="1:8">
      <c r="A16" s="163" t="e">
        <f>'10.Grain Production details'!#REF!</f>
        <v>#REF!</v>
      </c>
      <c r="B16" s="163" t="e">
        <f>'10.Grain Production details'!#REF!</f>
        <v>#REF!</v>
      </c>
      <c r="C16" s="163" t="e">
        <f>'10.Grain Production details'!#REF!</f>
        <v>#REF!</v>
      </c>
      <c r="D16" s="163" t="e">
        <f>'10.Grain Production details'!#REF!</f>
        <v>#REF!</v>
      </c>
      <c r="E16" s="163" t="e">
        <f>'10.Grain Production details'!#REF!</f>
        <v>#REF!</v>
      </c>
      <c r="F16" s="163" t="e">
        <f>'10.Grain Production details'!#REF!</f>
        <v>#REF!</v>
      </c>
      <c r="G16" s="163" t="e">
        <f>'10.Grain Production details'!#REF!</f>
        <v>#REF!</v>
      </c>
      <c r="H16" s="163" t="e">
        <f>'10.Grain Production details'!#REF!</f>
        <v>#REF!</v>
      </c>
    </row>
    <row r="17" spans="1:8">
      <c r="A17" s="163" t="e">
        <f>'10.Grain Production details'!#REF!</f>
        <v>#REF!</v>
      </c>
      <c r="B17" s="163" t="e">
        <f>'10.Grain Production details'!#REF!</f>
        <v>#REF!</v>
      </c>
      <c r="C17" s="163" t="e">
        <f>'10.Grain Production details'!#REF!</f>
        <v>#REF!</v>
      </c>
      <c r="D17" s="163" t="e">
        <f>'10.Grain Production details'!#REF!</f>
        <v>#REF!</v>
      </c>
      <c r="E17" s="163" t="e">
        <f>'10.Grain Production details'!#REF!</f>
        <v>#REF!</v>
      </c>
      <c r="F17" s="163" t="e">
        <f>'10.Grain Production details'!#REF!</f>
        <v>#REF!</v>
      </c>
      <c r="G17" s="163" t="e">
        <f>'10.Grain Production details'!#REF!</f>
        <v>#REF!</v>
      </c>
      <c r="H17" s="163" t="e">
        <f>'10.Grain Production details'!#REF!</f>
        <v>#REF!</v>
      </c>
    </row>
    <row r="18" spans="1:8">
      <c r="A18" s="163" t="e">
        <f>'10.Grain Production details'!#REF!</f>
        <v>#REF!</v>
      </c>
      <c r="B18" s="163" t="e">
        <f>'10.Grain Production details'!#REF!</f>
        <v>#REF!</v>
      </c>
      <c r="C18" s="163" t="e">
        <f>'10.Grain Production details'!#REF!</f>
        <v>#REF!</v>
      </c>
      <c r="D18" s="163" t="e">
        <f>'10.Grain Production details'!#REF!</f>
        <v>#REF!</v>
      </c>
      <c r="E18" s="163" t="e">
        <f>'10.Grain Production details'!#REF!</f>
        <v>#REF!</v>
      </c>
      <c r="F18" s="163" t="e">
        <f>'10.Grain Production details'!#REF!</f>
        <v>#REF!</v>
      </c>
      <c r="G18" s="163" t="e">
        <f>'10.Grain Production details'!#REF!</f>
        <v>#REF!</v>
      </c>
      <c r="H18" s="163" t="e">
        <f>'10.Grain Production details'!#REF!</f>
        <v>#REF!</v>
      </c>
    </row>
    <row r="19" spans="1:8">
      <c r="A19" s="163" t="e">
        <f>'10.Grain Production details'!#REF!</f>
        <v>#REF!</v>
      </c>
      <c r="B19" s="163" t="e">
        <f>'10.Grain Production details'!#REF!</f>
        <v>#REF!</v>
      </c>
      <c r="C19" s="163" t="e">
        <f>'10.Grain Production details'!#REF!</f>
        <v>#REF!</v>
      </c>
      <c r="D19" s="163" t="e">
        <f>'10.Grain Production details'!#REF!</f>
        <v>#REF!</v>
      </c>
      <c r="E19" s="163" t="e">
        <f>'10.Grain Production details'!#REF!</f>
        <v>#REF!</v>
      </c>
      <c r="F19" s="163" t="e">
        <f>'10.Grain Production details'!#REF!</f>
        <v>#REF!</v>
      </c>
      <c r="G19" s="163" t="e">
        <f>'10.Grain Production details'!#REF!</f>
        <v>#REF!</v>
      </c>
      <c r="H19" s="163" t="e">
        <f>'10.Grain Production details'!#REF!</f>
        <v>#REF!</v>
      </c>
    </row>
    <row r="20" spans="1:8">
      <c r="A20" s="163" t="e">
        <f>'10.Grain Production details'!#REF!</f>
        <v>#REF!</v>
      </c>
      <c r="B20" s="163" t="e">
        <f>'10.Grain Production details'!#REF!</f>
        <v>#REF!</v>
      </c>
      <c r="C20" s="163" t="e">
        <f>'10.Grain Production details'!#REF!</f>
        <v>#REF!</v>
      </c>
      <c r="D20" s="163" t="e">
        <f>'10.Grain Production details'!#REF!</f>
        <v>#REF!</v>
      </c>
      <c r="E20" s="163" t="e">
        <f>'10.Grain Production details'!#REF!</f>
        <v>#REF!</v>
      </c>
      <c r="F20" s="163" t="e">
        <f>'10.Grain Production details'!#REF!</f>
        <v>#REF!</v>
      </c>
      <c r="G20" s="163" t="e">
        <f>'10.Grain Production details'!#REF!</f>
        <v>#REF!</v>
      </c>
      <c r="H20" s="163" t="e">
        <f>'10.Grain Production details'!#REF!</f>
        <v>#REF!</v>
      </c>
    </row>
    <row r="21" spans="1:8">
      <c r="A21" s="163" t="e">
        <f>'10.Grain Production details'!#REF!</f>
        <v>#REF!</v>
      </c>
      <c r="B21" s="163" t="e">
        <f>'10.Grain Production details'!#REF!</f>
        <v>#REF!</v>
      </c>
      <c r="C21" s="163" t="e">
        <f>'10.Grain Production details'!#REF!</f>
        <v>#REF!</v>
      </c>
      <c r="D21" s="163" t="e">
        <f>'10.Grain Production details'!#REF!</f>
        <v>#REF!</v>
      </c>
      <c r="E21" s="163" t="e">
        <f>'10.Grain Production details'!#REF!</f>
        <v>#REF!</v>
      </c>
      <c r="F21" s="163" t="e">
        <f>'10.Grain Production details'!#REF!</f>
        <v>#REF!</v>
      </c>
      <c r="G21" s="163" t="e">
        <f>'10.Grain Production details'!#REF!</f>
        <v>#REF!</v>
      </c>
      <c r="H21" s="163" t="e">
        <f>'10.Grain Production details'!#REF!</f>
        <v>#REF!</v>
      </c>
    </row>
    <row r="22" spans="1:8">
      <c r="A22" s="163" t="e">
        <f>'10.Grain Production details'!#REF!</f>
        <v>#REF!</v>
      </c>
      <c r="B22" s="163" t="e">
        <f>'10.Grain Production details'!#REF!</f>
        <v>#REF!</v>
      </c>
      <c r="C22" s="163" t="e">
        <f>'10.Grain Production details'!#REF!</f>
        <v>#REF!</v>
      </c>
      <c r="D22" s="163" t="e">
        <f>'10.Grain Production details'!#REF!</f>
        <v>#REF!</v>
      </c>
      <c r="E22" s="163" t="e">
        <f>'10.Grain Production details'!#REF!</f>
        <v>#REF!</v>
      </c>
      <c r="F22" s="163" t="e">
        <f>'10.Grain Production details'!#REF!</f>
        <v>#REF!</v>
      </c>
      <c r="G22" s="163" t="e">
        <f>'10.Grain Production details'!#REF!</f>
        <v>#REF!</v>
      </c>
      <c r="H22" s="163" t="e">
        <f>'10.Grain Production details'!#REF!</f>
        <v>#REF!</v>
      </c>
    </row>
    <row r="23" spans="1:8">
      <c r="A23" s="163" t="e">
        <f>'10.Grain Production details'!#REF!</f>
        <v>#REF!</v>
      </c>
      <c r="B23" s="163" t="e">
        <f>'10.Grain Production details'!#REF!</f>
        <v>#REF!</v>
      </c>
      <c r="C23" s="163" t="e">
        <f>'10.Grain Production details'!#REF!</f>
        <v>#REF!</v>
      </c>
      <c r="D23" s="163" t="e">
        <f>'10.Grain Production details'!#REF!</f>
        <v>#REF!</v>
      </c>
      <c r="E23" s="163" t="e">
        <f>'10.Grain Production details'!#REF!</f>
        <v>#REF!</v>
      </c>
      <c r="F23" s="163" t="e">
        <f>'10.Grain Production details'!#REF!</f>
        <v>#REF!</v>
      </c>
      <c r="G23" s="163" t="e">
        <f>'10.Grain Production details'!#REF!</f>
        <v>#REF!</v>
      </c>
      <c r="H23" s="163" t="e">
        <f>'10.Grain Production details'!#REF!</f>
        <v>#REF!</v>
      </c>
    </row>
    <row r="24" spans="1:8">
      <c r="A24" s="163" t="e">
        <f>'10.Grain Production details'!#REF!</f>
        <v>#REF!</v>
      </c>
      <c r="B24" s="163" t="e">
        <f>'10.Grain Production details'!#REF!</f>
        <v>#REF!</v>
      </c>
      <c r="C24" s="163" t="e">
        <f>'10.Grain Production details'!#REF!</f>
        <v>#REF!</v>
      </c>
      <c r="D24" s="163" t="e">
        <f>'10.Grain Production details'!#REF!</f>
        <v>#REF!</v>
      </c>
      <c r="E24" s="163" t="e">
        <f>'10.Grain Production details'!#REF!</f>
        <v>#REF!</v>
      </c>
      <c r="F24" s="163" t="e">
        <f>'10.Grain Production details'!#REF!</f>
        <v>#REF!</v>
      </c>
      <c r="G24" s="163" t="e">
        <f>'10.Grain Production details'!#REF!</f>
        <v>#REF!</v>
      </c>
      <c r="H24" s="163" t="e">
        <f>'10.Grain Production details'!#REF!</f>
        <v>#REF!</v>
      </c>
    </row>
    <row r="25" spans="1:8">
      <c r="A25" s="163" t="e">
        <f>'10.Grain Production details'!#REF!</f>
        <v>#REF!</v>
      </c>
      <c r="B25" s="163" t="e">
        <f>'10.Grain Production details'!#REF!</f>
        <v>#REF!</v>
      </c>
      <c r="C25" s="163" t="e">
        <f>'10.Grain Production details'!#REF!</f>
        <v>#REF!</v>
      </c>
      <c r="D25" s="163" t="e">
        <f>'10.Grain Production details'!#REF!</f>
        <v>#REF!</v>
      </c>
      <c r="E25" s="163" t="e">
        <f>'10.Grain Production details'!#REF!</f>
        <v>#REF!</v>
      </c>
      <c r="F25" s="163" t="e">
        <f>'10.Grain Production details'!#REF!</f>
        <v>#REF!</v>
      </c>
      <c r="G25" s="163" t="e">
        <f>'10.Grain Production details'!#REF!</f>
        <v>#REF!</v>
      </c>
      <c r="H25" s="163" t="e">
        <f>'10.Grain Production details'!#REF!</f>
        <v>#REF!</v>
      </c>
    </row>
    <row r="26" spans="1:8">
      <c r="A26" s="163" t="e">
        <f>'10.Grain Production details'!#REF!</f>
        <v>#REF!</v>
      </c>
      <c r="B26" s="163" t="e">
        <f>'10.Grain Production details'!#REF!</f>
        <v>#REF!</v>
      </c>
      <c r="C26" s="163" t="e">
        <f>'10.Grain Production details'!#REF!</f>
        <v>#REF!</v>
      </c>
      <c r="D26" s="163" t="e">
        <f>'10.Grain Production details'!#REF!</f>
        <v>#REF!</v>
      </c>
      <c r="E26" s="163" t="e">
        <f>'10.Grain Production details'!#REF!</f>
        <v>#REF!</v>
      </c>
      <c r="F26" s="163" t="e">
        <f>'10.Grain Production details'!#REF!</f>
        <v>#REF!</v>
      </c>
      <c r="G26" s="163" t="e">
        <f>'10.Grain Production details'!#REF!</f>
        <v>#REF!</v>
      </c>
      <c r="H26" s="163" t="e">
        <f>'10.Grain Production details'!#REF!</f>
        <v>#REF!</v>
      </c>
    </row>
    <row r="27" spans="1:8">
      <c r="A27" s="163" t="e">
        <f>'10.Grain Production details'!#REF!</f>
        <v>#REF!</v>
      </c>
      <c r="B27" s="163" t="e">
        <f>'10.Grain Production details'!#REF!</f>
        <v>#REF!</v>
      </c>
      <c r="C27" s="163" t="e">
        <f>'10.Grain Production details'!#REF!</f>
        <v>#REF!</v>
      </c>
      <c r="D27" s="163" t="e">
        <f>'10.Grain Production details'!#REF!</f>
        <v>#REF!</v>
      </c>
      <c r="E27" s="163" t="e">
        <f>'10.Grain Production details'!#REF!</f>
        <v>#REF!</v>
      </c>
      <c r="F27" s="163" t="e">
        <f>'10.Grain Production details'!#REF!</f>
        <v>#REF!</v>
      </c>
      <c r="G27" s="163" t="e">
        <f>'10.Grain Production details'!#REF!</f>
        <v>#REF!</v>
      </c>
      <c r="H27" s="163" t="e">
        <f>'10.Grain Production details'!#REF!</f>
        <v>#REF!</v>
      </c>
    </row>
    <row r="28" spans="1:8">
      <c r="A28" s="163" t="e">
        <f>'10.Grain Production details'!#REF!</f>
        <v>#REF!</v>
      </c>
      <c r="B28" s="163" t="e">
        <f>'10.Grain Production details'!#REF!</f>
        <v>#REF!</v>
      </c>
      <c r="C28" s="163" t="e">
        <f>'10.Grain Production details'!#REF!</f>
        <v>#REF!</v>
      </c>
      <c r="D28" s="163" t="e">
        <f>'10.Grain Production details'!#REF!</f>
        <v>#REF!</v>
      </c>
      <c r="E28" s="163" t="e">
        <f>'10.Grain Production details'!#REF!</f>
        <v>#REF!</v>
      </c>
      <c r="F28" s="163" t="e">
        <f>'10.Grain Production details'!#REF!</f>
        <v>#REF!</v>
      </c>
      <c r="G28" s="163" t="e">
        <f>'10.Grain Production details'!#REF!</f>
        <v>#REF!</v>
      </c>
      <c r="H28" s="163" t="e">
        <f>'10.Grain Production details'!#REF!</f>
        <v>#REF!</v>
      </c>
    </row>
    <row r="29" spans="1:8">
      <c r="A29" s="163" t="e">
        <f>'10.Grain Production details'!#REF!</f>
        <v>#REF!</v>
      </c>
      <c r="B29" s="163" t="e">
        <f>'10.Grain Production details'!#REF!</f>
        <v>#REF!</v>
      </c>
      <c r="C29" s="163" t="e">
        <f>'10.Grain Production details'!#REF!</f>
        <v>#REF!</v>
      </c>
      <c r="D29" s="163" t="e">
        <f>'10.Grain Production details'!#REF!</f>
        <v>#REF!</v>
      </c>
      <c r="E29" s="163" t="e">
        <f>'10.Grain Production details'!#REF!</f>
        <v>#REF!</v>
      </c>
      <c r="F29" s="163" t="e">
        <f>'10.Grain Production details'!#REF!</f>
        <v>#REF!</v>
      </c>
      <c r="G29" s="163" t="e">
        <f>'10.Grain Production details'!#REF!</f>
        <v>#REF!</v>
      </c>
      <c r="H29" s="163" t="e">
        <f>'10.Grain Production details'!#REF!</f>
        <v>#REF!</v>
      </c>
    </row>
    <row r="30" spans="1:8">
      <c r="A30" s="163" t="e">
        <f>'10.Grain Production details'!#REF!</f>
        <v>#REF!</v>
      </c>
      <c r="B30" s="163" t="e">
        <f>'10.Grain Production details'!#REF!</f>
        <v>#REF!</v>
      </c>
      <c r="C30" s="163" t="e">
        <f>'10.Grain Production details'!#REF!</f>
        <v>#REF!</v>
      </c>
      <c r="D30" s="163" t="e">
        <f>'10.Grain Production details'!#REF!</f>
        <v>#REF!</v>
      </c>
      <c r="E30" s="163" t="e">
        <f>'10.Grain Production details'!#REF!</f>
        <v>#REF!</v>
      </c>
      <c r="F30" s="163" t="e">
        <f>'10.Grain Production details'!#REF!</f>
        <v>#REF!</v>
      </c>
      <c r="G30" s="163" t="e">
        <f>'10.Grain Production details'!#REF!</f>
        <v>#REF!</v>
      </c>
      <c r="H30" s="163" t="e">
        <f>'10.Grain Production details'!#REF!</f>
        <v>#REF!</v>
      </c>
    </row>
    <row r="31" spans="1:8">
      <c r="A31" s="163" t="e">
        <f>'10.Grain Production details'!#REF!</f>
        <v>#REF!</v>
      </c>
      <c r="B31" s="163" t="e">
        <f>'10.Grain Production details'!#REF!</f>
        <v>#REF!</v>
      </c>
      <c r="C31" s="163" t="e">
        <f>'10.Grain Production details'!#REF!</f>
        <v>#REF!</v>
      </c>
      <c r="D31" s="163" t="e">
        <f>'10.Grain Production details'!#REF!</f>
        <v>#REF!</v>
      </c>
      <c r="E31" s="163" t="e">
        <f>'10.Grain Production details'!#REF!</f>
        <v>#REF!</v>
      </c>
      <c r="F31" s="163" t="e">
        <f>'10.Grain Production details'!#REF!</f>
        <v>#REF!</v>
      </c>
      <c r="G31" s="163" t="e">
        <f>'10.Grain Production details'!#REF!</f>
        <v>#REF!</v>
      </c>
      <c r="H31" s="163" t="e">
        <f>'10.Grain Production details'!#REF!</f>
        <v>#REF!</v>
      </c>
    </row>
    <row r="32" spans="1:8">
      <c r="A32" s="163" t="e">
        <f>'10.Grain Production details'!#REF!</f>
        <v>#REF!</v>
      </c>
      <c r="B32" s="163" t="e">
        <f>'10.Grain Production details'!#REF!</f>
        <v>#REF!</v>
      </c>
      <c r="C32" s="163" t="e">
        <f>'10.Grain Production details'!#REF!</f>
        <v>#REF!</v>
      </c>
      <c r="D32" s="163" t="e">
        <f>'10.Grain Production details'!#REF!</f>
        <v>#REF!</v>
      </c>
      <c r="E32" s="163" t="e">
        <f>'10.Grain Production details'!#REF!</f>
        <v>#REF!</v>
      </c>
      <c r="F32" s="163" t="e">
        <f>'10.Grain Production details'!#REF!</f>
        <v>#REF!</v>
      </c>
      <c r="G32" s="163" t="e">
        <f>'10.Grain Production details'!#REF!</f>
        <v>#REF!</v>
      </c>
      <c r="H32" s="163" t="e">
        <f>'10.Grain Production details'!#REF!</f>
        <v>#REF!</v>
      </c>
    </row>
    <row r="33" spans="1:8">
      <c r="A33" s="82" t="s">
        <v>471</v>
      </c>
      <c r="B33" s="163" t="e">
        <f t="shared" ref="B33:H33" si="1">SUM(B11:B32)</f>
        <v>#REF!</v>
      </c>
      <c r="C33" s="163" t="e">
        <f t="shared" si="1"/>
        <v>#REF!</v>
      </c>
      <c r="D33" s="163" t="e">
        <f t="shared" si="1"/>
        <v>#REF!</v>
      </c>
      <c r="E33" s="163" t="e">
        <f t="shared" si="1"/>
        <v>#REF!</v>
      </c>
      <c r="F33" s="163" t="e">
        <f t="shared" si="1"/>
        <v>#REF!</v>
      </c>
      <c r="G33" s="163" t="e">
        <f t="shared" si="1"/>
        <v>#REF!</v>
      </c>
      <c r="H33" s="163" t="e">
        <f t="shared" si="1"/>
        <v>#REF!</v>
      </c>
    </row>
    <row r="34" spans="1:8">
      <c r="A34" s="163" t="str">
        <f>'11.F&amp;V Crop Production details'!A1:H1</f>
        <v>Fruit  &amp; Vegetables Crop Production Details</v>
      </c>
      <c r="B34" s="163"/>
      <c r="C34" s="163"/>
      <c r="D34" s="163"/>
      <c r="E34" s="163"/>
      <c r="F34" s="163"/>
      <c r="G34" s="163"/>
      <c r="H34" s="163"/>
    </row>
    <row r="35" spans="1:8">
      <c r="A35" s="163" t="str">
        <f>'11.F&amp;V Crop Production details'!A25</f>
        <v>Okra</v>
      </c>
      <c r="B35" s="163">
        <f>'11.F&amp;V Crop Production details'!B25</f>
        <v>0</v>
      </c>
      <c r="C35" s="163">
        <f>'11.F&amp;V Crop Production details'!C25</f>
        <v>0</v>
      </c>
      <c r="D35" s="163">
        <f>'11.F&amp;V Crop Production details'!D25</f>
        <v>0</v>
      </c>
      <c r="E35" s="163">
        <f>'11.F&amp;V Crop Production details'!E25</f>
        <v>0</v>
      </c>
      <c r="F35" s="163">
        <f>'11.F&amp;V Crop Production details'!F25</f>
        <v>0</v>
      </c>
      <c r="G35" s="163">
        <f>'11.F&amp;V Crop Production details'!G25</f>
        <v>0</v>
      </c>
      <c r="H35" s="163">
        <f>'11.F&amp;V Crop Production details'!H25</f>
        <v>0</v>
      </c>
    </row>
    <row r="36" spans="1:8">
      <c r="A36" s="163" t="e">
        <f>'11.F&amp;V Crop Production details'!#REF!</f>
        <v>#REF!</v>
      </c>
      <c r="B36" s="163" t="e">
        <f>'11.F&amp;V Crop Production details'!#REF!</f>
        <v>#REF!</v>
      </c>
      <c r="C36" s="163" t="e">
        <f>'11.F&amp;V Crop Production details'!#REF!</f>
        <v>#REF!</v>
      </c>
      <c r="D36" s="163" t="e">
        <f>'11.F&amp;V Crop Production details'!#REF!</f>
        <v>#REF!</v>
      </c>
      <c r="E36" s="163" t="e">
        <f>'11.F&amp;V Crop Production details'!#REF!</f>
        <v>#REF!</v>
      </c>
      <c r="F36" s="163" t="e">
        <f>'11.F&amp;V Crop Production details'!#REF!</f>
        <v>#REF!</v>
      </c>
      <c r="G36" s="163" t="e">
        <f>'11.F&amp;V Crop Production details'!#REF!</f>
        <v>#REF!</v>
      </c>
      <c r="H36" s="163" t="e">
        <f>'11.F&amp;V Crop Production details'!#REF!</f>
        <v>#REF!</v>
      </c>
    </row>
    <row r="37" spans="1:8">
      <c r="A37" s="163" t="e">
        <f>'11.F&amp;V Crop Production details'!#REF!</f>
        <v>#REF!</v>
      </c>
      <c r="B37" s="163" t="e">
        <f>'11.F&amp;V Crop Production details'!#REF!</f>
        <v>#REF!</v>
      </c>
      <c r="C37" s="163" t="e">
        <f>'11.F&amp;V Crop Production details'!#REF!</f>
        <v>#REF!</v>
      </c>
      <c r="D37" s="163" t="e">
        <f>'11.F&amp;V Crop Production details'!#REF!</f>
        <v>#REF!</v>
      </c>
      <c r="E37" s="163" t="e">
        <f>'11.F&amp;V Crop Production details'!#REF!</f>
        <v>#REF!</v>
      </c>
      <c r="F37" s="163" t="e">
        <f>'11.F&amp;V Crop Production details'!#REF!</f>
        <v>#REF!</v>
      </c>
      <c r="G37" s="163" t="e">
        <f>'11.F&amp;V Crop Production details'!#REF!</f>
        <v>#REF!</v>
      </c>
      <c r="H37" s="163" t="e">
        <f>'11.F&amp;V Crop Production details'!#REF!</f>
        <v>#REF!</v>
      </c>
    </row>
    <row r="38" spans="1:8">
      <c r="A38" s="163" t="str">
        <f>'11.F&amp;V Crop Production details'!A26</f>
        <v>Chilli</v>
      </c>
      <c r="B38" s="163">
        <f>'11.F&amp;V Crop Production details'!B26</f>
        <v>0</v>
      </c>
      <c r="C38" s="163">
        <f>'11.F&amp;V Crop Production details'!C26</f>
        <v>0</v>
      </c>
      <c r="D38" s="163">
        <f>'11.F&amp;V Crop Production details'!D26</f>
        <v>0</v>
      </c>
      <c r="E38" s="163">
        <f>'11.F&amp;V Crop Production details'!E26</f>
        <v>0</v>
      </c>
      <c r="F38" s="163">
        <f>'11.F&amp;V Crop Production details'!F26</f>
        <v>0</v>
      </c>
      <c r="G38" s="163">
        <f>'11.F&amp;V Crop Production details'!G26</f>
        <v>0</v>
      </c>
      <c r="H38" s="163">
        <f>'11.F&amp;V Crop Production details'!H26</f>
        <v>0</v>
      </c>
    </row>
    <row r="39" spans="1:8">
      <c r="A39" s="163" t="e">
        <f>'11.F&amp;V Crop Production details'!#REF!</f>
        <v>#REF!</v>
      </c>
      <c r="B39" s="163" t="e">
        <f>'11.F&amp;V Crop Production details'!#REF!</f>
        <v>#REF!</v>
      </c>
      <c r="C39" s="163" t="e">
        <f>'11.F&amp;V Crop Production details'!#REF!</f>
        <v>#REF!</v>
      </c>
      <c r="D39" s="163" t="e">
        <f>'11.F&amp;V Crop Production details'!#REF!</f>
        <v>#REF!</v>
      </c>
      <c r="E39" s="163" t="e">
        <f>'11.F&amp;V Crop Production details'!#REF!</f>
        <v>#REF!</v>
      </c>
      <c r="F39" s="163" t="e">
        <f>'11.F&amp;V Crop Production details'!#REF!</f>
        <v>#REF!</v>
      </c>
      <c r="G39" s="163" t="e">
        <f>'11.F&amp;V Crop Production details'!#REF!</f>
        <v>#REF!</v>
      </c>
      <c r="H39" s="163" t="e">
        <f>'11.F&amp;V Crop Production details'!#REF!</f>
        <v>#REF!</v>
      </c>
    </row>
    <row r="40" spans="1:8">
      <c r="A40" s="163" t="e">
        <f>'11.F&amp;V Crop Production details'!#REF!</f>
        <v>#REF!</v>
      </c>
      <c r="B40" s="163" t="e">
        <f>'11.F&amp;V Crop Production details'!#REF!</f>
        <v>#REF!</v>
      </c>
      <c r="C40" s="163" t="e">
        <f>'11.F&amp;V Crop Production details'!#REF!</f>
        <v>#REF!</v>
      </c>
      <c r="D40" s="163" t="e">
        <f>'11.F&amp;V Crop Production details'!#REF!</f>
        <v>#REF!</v>
      </c>
      <c r="E40" s="163" t="e">
        <f>'11.F&amp;V Crop Production details'!#REF!</f>
        <v>#REF!</v>
      </c>
      <c r="F40" s="163" t="e">
        <f>'11.F&amp;V Crop Production details'!#REF!</f>
        <v>#REF!</v>
      </c>
      <c r="G40" s="163" t="e">
        <f>'11.F&amp;V Crop Production details'!#REF!</f>
        <v>#REF!</v>
      </c>
      <c r="H40" s="163" t="e">
        <f>'11.F&amp;V Crop Production details'!#REF!</f>
        <v>#REF!</v>
      </c>
    </row>
    <row r="41" spans="1:8">
      <c r="A41" s="163" t="e">
        <f>'11.F&amp;V Crop Production details'!#REF!</f>
        <v>#REF!</v>
      </c>
      <c r="B41" s="163" t="e">
        <f>'11.F&amp;V Crop Production details'!#REF!</f>
        <v>#REF!</v>
      </c>
      <c r="C41" s="163" t="e">
        <f>'11.F&amp;V Crop Production details'!#REF!</f>
        <v>#REF!</v>
      </c>
      <c r="D41" s="163" t="e">
        <f>'11.F&amp;V Crop Production details'!#REF!</f>
        <v>#REF!</v>
      </c>
      <c r="E41" s="163" t="e">
        <f>'11.F&amp;V Crop Production details'!#REF!</f>
        <v>#REF!</v>
      </c>
      <c r="F41" s="163" t="e">
        <f>'11.F&amp;V Crop Production details'!#REF!</f>
        <v>#REF!</v>
      </c>
      <c r="G41" s="163" t="e">
        <f>'11.F&amp;V Crop Production details'!#REF!</f>
        <v>#REF!</v>
      </c>
      <c r="H41" s="163" t="e">
        <f>'11.F&amp;V Crop Production details'!#REF!</f>
        <v>#REF!</v>
      </c>
    </row>
    <row r="42" spans="1:8">
      <c r="A42" s="163" t="e">
        <f>'11.F&amp;V Crop Production details'!#REF!</f>
        <v>#REF!</v>
      </c>
      <c r="B42" s="163" t="e">
        <f>'11.F&amp;V Crop Production details'!#REF!</f>
        <v>#REF!</v>
      </c>
      <c r="C42" s="163" t="e">
        <f>'11.F&amp;V Crop Production details'!#REF!</f>
        <v>#REF!</v>
      </c>
      <c r="D42" s="163" t="e">
        <f>'11.F&amp;V Crop Production details'!#REF!</f>
        <v>#REF!</v>
      </c>
      <c r="E42" s="163" t="e">
        <f>'11.F&amp;V Crop Production details'!#REF!</f>
        <v>#REF!</v>
      </c>
      <c r="F42" s="163" t="e">
        <f>'11.F&amp;V Crop Production details'!#REF!</f>
        <v>#REF!</v>
      </c>
      <c r="G42" s="163" t="e">
        <f>'11.F&amp;V Crop Production details'!#REF!</f>
        <v>#REF!</v>
      </c>
      <c r="H42" s="163" t="e">
        <f>'11.F&amp;V Crop Production details'!#REF!</f>
        <v>#REF!</v>
      </c>
    </row>
    <row r="43" spans="1:8">
      <c r="A43" s="163" t="e">
        <f>'11.F&amp;V Crop Production details'!#REF!</f>
        <v>#REF!</v>
      </c>
      <c r="B43" s="163" t="e">
        <f>'11.F&amp;V Crop Production details'!#REF!</f>
        <v>#REF!</v>
      </c>
      <c r="C43" s="163" t="e">
        <f>'11.F&amp;V Crop Production details'!#REF!</f>
        <v>#REF!</v>
      </c>
      <c r="D43" s="163" t="e">
        <f>'11.F&amp;V Crop Production details'!#REF!</f>
        <v>#REF!</v>
      </c>
      <c r="E43" s="163" t="e">
        <f>'11.F&amp;V Crop Production details'!#REF!</f>
        <v>#REF!</v>
      </c>
      <c r="F43" s="163" t="e">
        <f>'11.F&amp;V Crop Production details'!#REF!</f>
        <v>#REF!</v>
      </c>
      <c r="G43" s="163" t="e">
        <f>'11.F&amp;V Crop Production details'!#REF!</f>
        <v>#REF!</v>
      </c>
      <c r="H43" s="163" t="e">
        <f>'11.F&amp;V Crop Production details'!#REF!</f>
        <v>#REF!</v>
      </c>
    </row>
    <row r="44" spans="1:8">
      <c r="A44" s="163" t="e">
        <f>'11.F&amp;V Crop Production details'!#REF!</f>
        <v>#REF!</v>
      </c>
      <c r="B44" s="163" t="e">
        <f>'11.F&amp;V Crop Production details'!#REF!</f>
        <v>#REF!</v>
      </c>
      <c r="C44" s="163" t="e">
        <f>'11.F&amp;V Crop Production details'!#REF!</f>
        <v>#REF!</v>
      </c>
      <c r="D44" s="163" t="e">
        <f>'11.F&amp;V Crop Production details'!#REF!</f>
        <v>#REF!</v>
      </c>
      <c r="E44" s="163" t="e">
        <f>'11.F&amp;V Crop Production details'!#REF!</f>
        <v>#REF!</v>
      </c>
      <c r="F44" s="163" t="e">
        <f>'11.F&amp;V Crop Production details'!#REF!</f>
        <v>#REF!</v>
      </c>
      <c r="G44" s="163" t="e">
        <f>'11.F&amp;V Crop Production details'!#REF!</f>
        <v>#REF!</v>
      </c>
      <c r="H44" s="163" t="e">
        <f>'11.F&amp;V Crop Production details'!#REF!</f>
        <v>#REF!</v>
      </c>
    </row>
    <row r="45" spans="1:8">
      <c r="A45" s="163" t="e">
        <f>'11.F&amp;V Crop Production details'!#REF!</f>
        <v>#REF!</v>
      </c>
      <c r="B45" s="163" t="e">
        <f>'11.F&amp;V Crop Production details'!#REF!</f>
        <v>#REF!</v>
      </c>
      <c r="C45" s="163" t="e">
        <f>'11.F&amp;V Crop Production details'!#REF!</f>
        <v>#REF!</v>
      </c>
      <c r="D45" s="163" t="e">
        <f>'11.F&amp;V Crop Production details'!#REF!</f>
        <v>#REF!</v>
      </c>
      <c r="E45" s="163" t="e">
        <f>'11.F&amp;V Crop Production details'!#REF!</f>
        <v>#REF!</v>
      </c>
      <c r="F45" s="163" t="e">
        <f>'11.F&amp;V Crop Production details'!#REF!</f>
        <v>#REF!</v>
      </c>
      <c r="G45" s="163" t="e">
        <f>'11.F&amp;V Crop Production details'!#REF!</f>
        <v>#REF!</v>
      </c>
      <c r="H45" s="163" t="e">
        <f>'11.F&amp;V Crop Production details'!#REF!</f>
        <v>#REF!</v>
      </c>
    </row>
    <row r="46" spans="1:8">
      <c r="A46" s="163" t="e">
        <f>'11.F&amp;V Crop Production details'!#REF!</f>
        <v>#REF!</v>
      </c>
      <c r="B46" s="163" t="e">
        <f>'11.F&amp;V Crop Production details'!#REF!</f>
        <v>#REF!</v>
      </c>
      <c r="C46" s="163" t="e">
        <f>'11.F&amp;V Crop Production details'!#REF!</f>
        <v>#REF!</v>
      </c>
      <c r="D46" s="163" t="e">
        <f>'11.F&amp;V Crop Production details'!#REF!</f>
        <v>#REF!</v>
      </c>
      <c r="E46" s="163" t="e">
        <f>'11.F&amp;V Crop Production details'!#REF!</f>
        <v>#REF!</v>
      </c>
      <c r="F46" s="163" t="e">
        <f>'11.F&amp;V Crop Production details'!#REF!</f>
        <v>#REF!</v>
      </c>
      <c r="G46" s="163" t="e">
        <f>'11.F&amp;V Crop Production details'!#REF!</f>
        <v>#REF!</v>
      </c>
      <c r="H46" s="163" t="e">
        <f>'11.F&amp;V Crop Production details'!#REF!</f>
        <v>#REF!</v>
      </c>
    </row>
    <row r="47" spans="1:8">
      <c r="A47" s="163" t="e">
        <f>'11.F&amp;V Crop Production details'!#REF!</f>
        <v>#REF!</v>
      </c>
      <c r="B47" s="163" t="e">
        <f>'11.F&amp;V Crop Production details'!#REF!</f>
        <v>#REF!</v>
      </c>
      <c r="C47" s="163" t="e">
        <f>'11.F&amp;V Crop Production details'!#REF!</f>
        <v>#REF!</v>
      </c>
      <c r="D47" s="163" t="e">
        <f>'11.F&amp;V Crop Production details'!#REF!</f>
        <v>#REF!</v>
      </c>
      <c r="E47" s="163" t="e">
        <f>'11.F&amp;V Crop Production details'!#REF!</f>
        <v>#REF!</v>
      </c>
      <c r="F47" s="163" t="e">
        <f>'11.F&amp;V Crop Production details'!#REF!</f>
        <v>#REF!</v>
      </c>
      <c r="G47" s="163" t="e">
        <f>'11.F&amp;V Crop Production details'!#REF!</f>
        <v>#REF!</v>
      </c>
      <c r="H47" s="163" t="e">
        <f>'11.F&amp;V Crop Production details'!#REF!</f>
        <v>#REF!</v>
      </c>
    </row>
    <row r="48" spans="1:8">
      <c r="A48" s="163" t="e">
        <f>'11.F&amp;V Crop Production details'!#REF!</f>
        <v>#REF!</v>
      </c>
      <c r="B48" s="163" t="e">
        <f>'11.F&amp;V Crop Production details'!#REF!</f>
        <v>#REF!</v>
      </c>
      <c r="C48" s="163" t="e">
        <f>'11.F&amp;V Crop Production details'!#REF!</f>
        <v>#REF!</v>
      </c>
      <c r="D48" s="163" t="e">
        <f>'11.F&amp;V Crop Production details'!#REF!</f>
        <v>#REF!</v>
      </c>
      <c r="E48" s="163" t="e">
        <f>'11.F&amp;V Crop Production details'!#REF!</f>
        <v>#REF!</v>
      </c>
      <c r="F48" s="163" t="e">
        <f>'11.F&amp;V Crop Production details'!#REF!</f>
        <v>#REF!</v>
      </c>
      <c r="G48" s="163" t="e">
        <f>'11.F&amp;V Crop Production details'!#REF!</f>
        <v>#REF!</v>
      </c>
      <c r="H48" s="163" t="e">
        <f>'11.F&amp;V Crop Production details'!#REF!</f>
        <v>#REF!</v>
      </c>
    </row>
    <row r="49" spans="1:8">
      <c r="A49" s="163" t="e">
        <f>'11.F&amp;V Crop Production details'!#REF!</f>
        <v>#REF!</v>
      </c>
      <c r="B49" s="163" t="e">
        <f>'11.F&amp;V Crop Production details'!#REF!</f>
        <v>#REF!</v>
      </c>
      <c r="C49" s="163" t="e">
        <f>'11.F&amp;V Crop Production details'!#REF!</f>
        <v>#REF!</v>
      </c>
      <c r="D49" s="163" t="e">
        <f>'11.F&amp;V Crop Production details'!#REF!</f>
        <v>#REF!</v>
      </c>
      <c r="E49" s="163" t="e">
        <f>'11.F&amp;V Crop Production details'!#REF!</f>
        <v>#REF!</v>
      </c>
      <c r="F49" s="163" t="e">
        <f>'11.F&amp;V Crop Production details'!#REF!</f>
        <v>#REF!</v>
      </c>
      <c r="G49" s="163" t="e">
        <f>'11.F&amp;V Crop Production details'!#REF!</f>
        <v>#REF!</v>
      </c>
      <c r="H49" s="163" t="e">
        <f>'11.F&amp;V Crop Production details'!#REF!</f>
        <v>#REF!</v>
      </c>
    </row>
    <row r="50" spans="1:8">
      <c r="A50" s="163" t="e">
        <f>'11.F&amp;V Crop Production details'!#REF!</f>
        <v>#REF!</v>
      </c>
      <c r="B50" s="163" t="e">
        <f>'11.F&amp;V Crop Production details'!#REF!</f>
        <v>#REF!</v>
      </c>
      <c r="C50" s="163" t="e">
        <f>'11.F&amp;V Crop Production details'!#REF!</f>
        <v>#REF!</v>
      </c>
      <c r="D50" s="163" t="e">
        <f>'11.F&amp;V Crop Production details'!#REF!</f>
        <v>#REF!</v>
      </c>
      <c r="E50" s="163" t="e">
        <f>'11.F&amp;V Crop Production details'!#REF!</f>
        <v>#REF!</v>
      </c>
      <c r="F50" s="163" t="e">
        <f>'11.F&amp;V Crop Production details'!#REF!</f>
        <v>#REF!</v>
      </c>
      <c r="G50" s="163" t="e">
        <f>'11.F&amp;V Crop Production details'!#REF!</f>
        <v>#REF!</v>
      </c>
      <c r="H50" s="163" t="e">
        <f>'11.F&amp;V Crop Production details'!#REF!</f>
        <v>#REF!</v>
      </c>
    </row>
    <row r="51" spans="1:8">
      <c r="A51" s="163" t="e">
        <f>'11.F&amp;V Crop Production details'!#REF!</f>
        <v>#REF!</v>
      </c>
      <c r="B51" s="163" t="e">
        <f>'11.F&amp;V Crop Production details'!#REF!</f>
        <v>#REF!</v>
      </c>
      <c r="C51" s="163" t="e">
        <f>'11.F&amp;V Crop Production details'!#REF!</f>
        <v>#REF!</v>
      </c>
      <c r="D51" s="163" t="e">
        <f>'11.F&amp;V Crop Production details'!#REF!</f>
        <v>#REF!</v>
      </c>
      <c r="E51" s="163" t="e">
        <f>'11.F&amp;V Crop Production details'!#REF!</f>
        <v>#REF!</v>
      </c>
      <c r="F51" s="163" t="e">
        <f>'11.F&amp;V Crop Production details'!#REF!</f>
        <v>#REF!</v>
      </c>
      <c r="G51" s="163" t="e">
        <f>'11.F&amp;V Crop Production details'!#REF!</f>
        <v>#REF!</v>
      </c>
      <c r="H51" s="163" t="e">
        <f>'11.F&amp;V Crop Production details'!#REF!</f>
        <v>#REF!</v>
      </c>
    </row>
    <row r="52" spans="1:8">
      <c r="A52" s="163" t="e">
        <f>'11.F&amp;V Crop Production details'!#REF!</f>
        <v>#REF!</v>
      </c>
      <c r="B52" s="163" t="e">
        <f>'11.F&amp;V Crop Production details'!#REF!</f>
        <v>#REF!</v>
      </c>
      <c r="C52" s="163" t="e">
        <f>'11.F&amp;V Crop Production details'!#REF!</f>
        <v>#REF!</v>
      </c>
      <c r="D52" s="163" t="e">
        <f>'11.F&amp;V Crop Production details'!#REF!</f>
        <v>#REF!</v>
      </c>
      <c r="E52" s="163" t="e">
        <f>'11.F&amp;V Crop Production details'!#REF!</f>
        <v>#REF!</v>
      </c>
      <c r="F52" s="163" t="e">
        <f>'11.F&amp;V Crop Production details'!#REF!</f>
        <v>#REF!</v>
      </c>
      <c r="G52" s="163" t="e">
        <f>'11.F&amp;V Crop Production details'!#REF!</f>
        <v>#REF!</v>
      </c>
      <c r="H52" s="163" t="e">
        <f>'11.F&amp;V Crop Production details'!#REF!</f>
        <v>#REF!</v>
      </c>
    </row>
    <row r="53" spans="1:8">
      <c r="A53" s="163" t="e">
        <f>'11.F&amp;V Crop Production details'!#REF!</f>
        <v>#REF!</v>
      </c>
      <c r="B53" s="163"/>
      <c r="C53" s="163"/>
      <c r="D53" s="163"/>
      <c r="E53" s="163"/>
      <c r="F53" s="163"/>
      <c r="G53" s="163"/>
      <c r="H53" s="163"/>
    </row>
    <row r="54" spans="1:8">
      <c r="A54" s="163" t="e">
        <f>'11.F&amp;V Crop Production details'!#REF!</f>
        <v>#REF!</v>
      </c>
      <c r="B54" s="163"/>
      <c r="C54" s="163"/>
      <c r="D54" s="163"/>
      <c r="E54" s="163"/>
      <c r="F54" s="163"/>
      <c r="G54" s="163"/>
      <c r="H54" s="163"/>
    </row>
    <row r="55" spans="1:8">
      <c r="A55" s="163" t="e">
        <f>'11.F&amp;V Crop Production details'!#REF!</f>
        <v>#REF!</v>
      </c>
      <c r="B55" s="163"/>
      <c r="C55" s="163"/>
      <c r="D55" s="163"/>
      <c r="E55" s="163"/>
      <c r="F55" s="163"/>
      <c r="G55" s="163"/>
      <c r="H55" s="163"/>
    </row>
    <row r="56" spans="1:8">
      <c r="A56" s="163" t="e">
        <f>'11.F&amp;V Crop Production details'!#REF!</f>
        <v>#REF!</v>
      </c>
      <c r="B56" s="163" t="e">
        <f>'11.F&amp;V Crop Production details'!#REF!</f>
        <v>#REF!</v>
      </c>
      <c r="C56" s="163" t="e">
        <f>'11.F&amp;V Crop Production details'!#REF!</f>
        <v>#REF!</v>
      </c>
      <c r="D56" s="163" t="e">
        <f>'11.F&amp;V Crop Production details'!#REF!</f>
        <v>#REF!</v>
      </c>
      <c r="E56" s="163" t="e">
        <f>'11.F&amp;V Crop Production details'!#REF!</f>
        <v>#REF!</v>
      </c>
      <c r="F56" s="163" t="e">
        <f>'11.F&amp;V Crop Production details'!#REF!</f>
        <v>#REF!</v>
      </c>
      <c r="G56" s="163" t="e">
        <f>'11.F&amp;V Crop Production details'!#REF!</f>
        <v>#REF!</v>
      </c>
      <c r="H56" s="163" t="e">
        <f>'11.F&amp;V Crop Production details'!#REF!</f>
        <v>#REF!</v>
      </c>
    </row>
    <row r="57" spans="1:8">
      <c r="A57" s="163" t="e">
        <f>'11.F&amp;V Crop Production details'!#REF!</f>
        <v>#REF!</v>
      </c>
      <c r="B57" s="163" t="e">
        <f>'11.F&amp;V Crop Production details'!#REF!</f>
        <v>#REF!</v>
      </c>
      <c r="C57" s="163" t="e">
        <f>'11.F&amp;V Crop Production details'!#REF!</f>
        <v>#REF!</v>
      </c>
      <c r="D57" s="163" t="e">
        <f>'11.F&amp;V Crop Production details'!#REF!</f>
        <v>#REF!</v>
      </c>
      <c r="E57" s="163" t="e">
        <f>'11.F&amp;V Crop Production details'!#REF!</f>
        <v>#REF!</v>
      </c>
      <c r="F57" s="163" t="e">
        <f>'11.F&amp;V Crop Production details'!#REF!</f>
        <v>#REF!</v>
      </c>
      <c r="G57" s="163" t="e">
        <f>'11.F&amp;V Crop Production details'!#REF!</f>
        <v>#REF!</v>
      </c>
      <c r="H57" s="163" t="e">
        <f>'11.F&amp;V Crop Production details'!#REF!</f>
        <v>#REF!</v>
      </c>
    </row>
    <row r="58" spans="1:8">
      <c r="A58" s="163" t="e">
        <f>'11.F&amp;V Crop Production details'!#REF!</f>
        <v>#REF!</v>
      </c>
      <c r="B58" s="163" t="e">
        <f>'11.F&amp;V Crop Production details'!#REF!</f>
        <v>#REF!</v>
      </c>
      <c r="C58" s="163" t="e">
        <f>'11.F&amp;V Crop Production details'!#REF!</f>
        <v>#REF!</v>
      </c>
      <c r="D58" s="163" t="e">
        <f>'11.F&amp;V Crop Production details'!#REF!</f>
        <v>#REF!</v>
      </c>
      <c r="E58" s="163" t="e">
        <f>'11.F&amp;V Crop Production details'!#REF!</f>
        <v>#REF!</v>
      </c>
      <c r="F58" s="163" t="e">
        <f>'11.F&amp;V Crop Production details'!#REF!</f>
        <v>#REF!</v>
      </c>
      <c r="G58" s="163" t="e">
        <f>'11.F&amp;V Crop Production details'!#REF!</f>
        <v>#REF!</v>
      </c>
      <c r="H58" s="163" t="e">
        <f>'11.F&amp;V Crop Production details'!#REF!</f>
        <v>#REF!</v>
      </c>
    </row>
    <row r="59" spans="1:8">
      <c r="A59" s="163" t="e">
        <f>'11.F&amp;V Crop Production details'!#REF!</f>
        <v>#REF!</v>
      </c>
      <c r="B59" s="163" t="e">
        <f>'11.F&amp;V Crop Production details'!#REF!</f>
        <v>#REF!</v>
      </c>
      <c r="C59" s="163" t="e">
        <f>'11.F&amp;V Crop Production details'!#REF!</f>
        <v>#REF!</v>
      </c>
      <c r="D59" s="163" t="e">
        <f>'11.F&amp;V Crop Production details'!#REF!</f>
        <v>#REF!</v>
      </c>
      <c r="E59" s="163" t="e">
        <f>'11.F&amp;V Crop Production details'!#REF!</f>
        <v>#REF!</v>
      </c>
      <c r="F59" s="163" t="e">
        <f>'11.F&amp;V Crop Production details'!#REF!</f>
        <v>#REF!</v>
      </c>
      <c r="G59" s="163" t="e">
        <f>'11.F&amp;V Crop Production details'!#REF!</f>
        <v>#REF!</v>
      </c>
      <c r="H59" s="163" t="e">
        <f>'11.F&amp;V Crop Production details'!#REF!</f>
        <v>#REF!</v>
      </c>
    </row>
    <row r="60" spans="1:8">
      <c r="A60" s="163"/>
      <c r="B60" s="163"/>
      <c r="C60" s="163"/>
      <c r="D60" s="163"/>
      <c r="E60" s="163"/>
      <c r="F60" s="163"/>
      <c r="G60" s="163"/>
      <c r="H60" s="163"/>
    </row>
    <row r="61" spans="1:8">
      <c r="A61" s="82" t="s">
        <v>470</v>
      </c>
      <c r="B61" s="163" t="e">
        <f t="shared" ref="B61:H61" si="2">SUM(B35:B59)</f>
        <v>#REF!</v>
      </c>
      <c r="C61" s="163" t="e">
        <f t="shared" si="2"/>
        <v>#REF!</v>
      </c>
      <c r="D61" s="163" t="e">
        <f t="shared" si="2"/>
        <v>#REF!</v>
      </c>
      <c r="E61" s="163" t="e">
        <f t="shared" si="2"/>
        <v>#REF!</v>
      </c>
      <c r="F61" s="163" t="e">
        <f t="shared" si="2"/>
        <v>#REF!</v>
      </c>
      <c r="G61" s="163" t="e">
        <f t="shared" si="2"/>
        <v>#REF!</v>
      </c>
      <c r="H61" s="163" t="e">
        <f t="shared" si="2"/>
        <v>#REF!</v>
      </c>
    </row>
    <row r="62" spans="1:8">
      <c r="A62" s="237" t="s">
        <v>472</v>
      </c>
      <c r="B62" s="255">
        <v>0.5</v>
      </c>
      <c r="C62" s="255">
        <v>0.5</v>
      </c>
      <c r="D62" s="255">
        <v>0.5</v>
      </c>
      <c r="E62" s="255">
        <v>0.5</v>
      </c>
      <c r="F62" s="255">
        <v>0.5</v>
      </c>
      <c r="G62" s="255">
        <v>0.5</v>
      </c>
      <c r="H62" s="255">
        <v>0.5</v>
      </c>
    </row>
    <row r="63" spans="1:8">
      <c r="A63" s="237" t="s">
        <v>473</v>
      </c>
      <c r="B63" s="255">
        <f t="shared" ref="B63:H63" si="3">1-B62</f>
        <v>0.5</v>
      </c>
      <c r="C63" s="255">
        <f t="shared" si="3"/>
        <v>0.5</v>
      </c>
      <c r="D63" s="255">
        <f t="shared" si="3"/>
        <v>0.5</v>
      </c>
      <c r="E63" s="255">
        <f t="shared" si="3"/>
        <v>0.5</v>
      </c>
      <c r="F63" s="255">
        <f t="shared" si="3"/>
        <v>0.5</v>
      </c>
      <c r="G63" s="255">
        <f t="shared" si="3"/>
        <v>0.5</v>
      </c>
      <c r="H63" s="255">
        <f t="shared" si="3"/>
        <v>0.5</v>
      </c>
    </row>
    <row r="64" spans="1:8">
      <c r="A64" s="237"/>
      <c r="B64" s="255"/>
      <c r="C64" s="255"/>
      <c r="D64" s="255"/>
      <c r="E64" s="255"/>
      <c r="F64" s="255"/>
      <c r="G64" s="255"/>
      <c r="H64" s="255"/>
    </row>
    <row r="65" spans="1:8">
      <c r="A65" s="237" t="s">
        <v>160</v>
      </c>
      <c r="B65" s="238" t="e">
        <f t="shared" ref="B65:H65" si="4">B33*B62</f>
        <v>#REF!</v>
      </c>
      <c r="C65" s="238" t="e">
        <f t="shared" si="4"/>
        <v>#REF!</v>
      </c>
      <c r="D65" s="238" t="e">
        <f t="shared" si="4"/>
        <v>#REF!</v>
      </c>
      <c r="E65" s="238" t="e">
        <f t="shared" si="4"/>
        <v>#REF!</v>
      </c>
      <c r="F65" s="238" t="e">
        <f t="shared" si="4"/>
        <v>#REF!</v>
      </c>
      <c r="G65" s="238" t="e">
        <f t="shared" si="4"/>
        <v>#REF!</v>
      </c>
      <c r="H65" s="238" t="e">
        <f t="shared" si="4"/>
        <v>#REF!</v>
      </c>
    </row>
    <row r="66" spans="1:8">
      <c r="A66" s="82"/>
      <c r="B66" s="163"/>
      <c r="C66" s="163"/>
      <c r="D66" s="163"/>
      <c r="E66" s="163"/>
      <c r="F66" s="163"/>
      <c r="G66" s="163"/>
      <c r="H66" s="163"/>
    </row>
    <row r="67" spans="1:8">
      <c r="A67" s="82" t="s">
        <v>161</v>
      </c>
      <c r="B67" s="163"/>
      <c r="C67" s="163"/>
      <c r="D67" s="163"/>
      <c r="E67" s="163"/>
      <c r="F67" s="163"/>
      <c r="G67" s="163"/>
      <c r="H67" s="163"/>
    </row>
    <row r="68" spans="1:8">
      <c r="A68" s="80" t="e">
        <f t="shared" ref="A68:A89" si="5">A11</f>
        <v>#REF!</v>
      </c>
      <c r="B68" s="253" t="e">
        <f t="shared" ref="B68:B89" si="6">B11*$B$63</f>
        <v>#REF!</v>
      </c>
      <c r="C68" s="253" t="e">
        <f t="shared" ref="C68:C83" si="7">C11*$C$63</f>
        <v>#REF!</v>
      </c>
      <c r="D68" s="253" t="e">
        <f t="shared" ref="D68:D83" si="8">D11*$D$63</f>
        <v>#REF!</v>
      </c>
      <c r="E68" s="253" t="e">
        <f t="shared" ref="E68:E83" si="9">E11*$E$63</f>
        <v>#REF!</v>
      </c>
      <c r="F68" s="253" t="e">
        <f t="shared" ref="F68:F83" si="10">F11*$F$63</f>
        <v>#REF!</v>
      </c>
      <c r="G68" s="253" t="e">
        <f t="shared" ref="G68:G83" si="11">G11*$G$63</f>
        <v>#REF!</v>
      </c>
      <c r="H68" s="253" t="e">
        <f t="shared" ref="H68:H83" si="12">H11*$H$63</f>
        <v>#REF!</v>
      </c>
    </row>
    <row r="69" spans="1:8">
      <c r="A69" s="80" t="e">
        <f t="shared" si="5"/>
        <v>#REF!</v>
      </c>
      <c r="B69" s="253" t="e">
        <f t="shared" si="6"/>
        <v>#REF!</v>
      </c>
      <c r="C69" s="253" t="e">
        <f t="shared" si="7"/>
        <v>#REF!</v>
      </c>
      <c r="D69" s="253" t="e">
        <f t="shared" si="8"/>
        <v>#REF!</v>
      </c>
      <c r="E69" s="253" t="e">
        <f t="shared" si="9"/>
        <v>#REF!</v>
      </c>
      <c r="F69" s="253" t="e">
        <f t="shared" si="10"/>
        <v>#REF!</v>
      </c>
      <c r="G69" s="253" t="e">
        <f t="shared" si="11"/>
        <v>#REF!</v>
      </c>
      <c r="H69" s="253" t="e">
        <f t="shared" si="12"/>
        <v>#REF!</v>
      </c>
    </row>
    <row r="70" spans="1:8">
      <c r="A70" s="80" t="e">
        <f t="shared" si="5"/>
        <v>#REF!</v>
      </c>
      <c r="B70" s="253" t="e">
        <f t="shared" si="6"/>
        <v>#REF!</v>
      </c>
      <c r="C70" s="253" t="e">
        <f t="shared" si="7"/>
        <v>#REF!</v>
      </c>
      <c r="D70" s="253" t="e">
        <f t="shared" si="8"/>
        <v>#REF!</v>
      </c>
      <c r="E70" s="253" t="e">
        <f t="shared" si="9"/>
        <v>#REF!</v>
      </c>
      <c r="F70" s="253" t="e">
        <f t="shared" si="10"/>
        <v>#REF!</v>
      </c>
      <c r="G70" s="253" t="e">
        <f t="shared" si="11"/>
        <v>#REF!</v>
      </c>
      <c r="H70" s="253" t="e">
        <f t="shared" si="12"/>
        <v>#REF!</v>
      </c>
    </row>
    <row r="71" spans="1:8">
      <c r="A71" s="80" t="e">
        <f t="shared" si="5"/>
        <v>#REF!</v>
      </c>
      <c r="B71" s="253" t="e">
        <f t="shared" si="6"/>
        <v>#REF!</v>
      </c>
      <c r="C71" s="253" t="e">
        <f t="shared" si="7"/>
        <v>#REF!</v>
      </c>
      <c r="D71" s="253" t="e">
        <f t="shared" si="8"/>
        <v>#REF!</v>
      </c>
      <c r="E71" s="253" t="e">
        <f t="shared" si="9"/>
        <v>#REF!</v>
      </c>
      <c r="F71" s="253" t="e">
        <f t="shared" si="10"/>
        <v>#REF!</v>
      </c>
      <c r="G71" s="253" t="e">
        <f t="shared" si="11"/>
        <v>#REF!</v>
      </c>
      <c r="H71" s="253" t="e">
        <f t="shared" si="12"/>
        <v>#REF!</v>
      </c>
    </row>
    <row r="72" spans="1:8">
      <c r="A72" s="80" t="e">
        <f t="shared" si="5"/>
        <v>#REF!</v>
      </c>
      <c r="B72" s="253" t="e">
        <f t="shared" si="6"/>
        <v>#REF!</v>
      </c>
      <c r="C72" s="253" t="e">
        <f t="shared" si="7"/>
        <v>#REF!</v>
      </c>
      <c r="D72" s="253" t="e">
        <f t="shared" si="8"/>
        <v>#REF!</v>
      </c>
      <c r="E72" s="253" t="e">
        <f t="shared" si="9"/>
        <v>#REF!</v>
      </c>
      <c r="F72" s="253" t="e">
        <f t="shared" si="10"/>
        <v>#REF!</v>
      </c>
      <c r="G72" s="253" t="e">
        <f t="shared" si="11"/>
        <v>#REF!</v>
      </c>
      <c r="H72" s="253" t="e">
        <f t="shared" si="12"/>
        <v>#REF!</v>
      </c>
    </row>
    <row r="73" spans="1:8">
      <c r="A73" s="80" t="e">
        <f t="shared" si="5"/>
        <v>#REF!</v>
      </c>
      <c r="B73" s="253" t="e">
        <f t="shared" si="6"/>
        <v>#REF!</v>
      </c>
      <c r="C73" s="253" t="e">
        <f t="shared" si="7"/>
        <v>#REF!</v>
      </c>
      <c r="D73" s="253" t="e">
        <f t="shared" si="8"/>
        <v>#REF!</v>
      </c>
      <c r="E73" s="253" t="e">
        <f t="shared" si="9"/>
        <v>#REF!</v>
      </c>
      <c r="F73" s="253" t="e">
        <f t="shared" si="10"/>
        <v>#REF!</v>
      </c>
      <c r="G73" s="253" t="e">
        <f t="shared" si="11"/>
        <v>#REF!</v>
      </c>
      <c r="H73" s="253" t="e">
        <f t="shared" si="12"/>
        <v>#REF!</v>
      </c>
    </row>
    <row r="74" spans="1:8">
      <c r="A74" s="80" t="e">
        <f t="shared" si="5"/>
        <v>#REF!</v>
      </c>
      <c r="B74" s="253" t="e">
        <f t="shared" si="6"/>
        <v>#REF!</v>
      </c>
      <c r="C74" s="253" t="e">
        <f t="shared" si="7"/>
        <v>#REF!</v>
      </c>
      <c r="D74" s="253" t="e">
        <f t="shared" si="8"/>
        <v>#REF!</v>
      </c>
      <c r="E74" s="253" t="e">
        <f t="shared" si="9"/>
        <v>#REF!</v>
      </c>
      <c r="F74" s="253" t="e">
        <f t="shared" si="10"/>
        <v>#REF!</v>
      </c>
      <c r="G74" s="253" t="e">
        <f t="shared" si="11"/>
        <v>#REF!</v>
      </c>
      <c r="H74" s="253" t="e">
        <f t="shared" si="12"/>
        <v>#REF!</v>
      </c>
    </row>
    <row r="75" spans="1:8">
      <c r="A75" s="80" t="e">
        <f t="shared" si="5"/>
        <v>#REF!</v>
      </c>
      <c r="B75" s="253" t="e">
        <f t="shared" si="6"/>
        <v>#REF!</v>
      </c>
      <c r="C75" s="253" t="e">
        <f t="shared" si="7"/>
        <v>#REF!</v>
      </c>
      <c r="D75" s="253" t="e">
        <f t="shared" si="8"/>
        <v>#REF!</v>
      </c>
      <c r="E75" s="253" t="e">
        <f t="shared" si="9"/>
        <v>#REF!</v>
      </c>
      <c r="F75" s="253" t="e">
        <f t="shared" si="10"/>
        <v>#REF!</v>
      </c>
      <c r="G75" s="253" t="e">
        <f t="shared" si="11"/>
        <v>#REF!</v>
      </c>
      <c r="H75" s="253" t="e">
        <f t="shared" si="12"/>
        <v>#REF!</v>
      </c>
    </row>
    <row r="76" spans="1:8">
      <c r="A76" s="80" t="e">
        <f t="shared" si="5"/>
        <v>#REF!</v>
      </c>
      <c r="B76" s="253" t="e">
        <f t="shared" si="6"/>
        <v>#REF!</v>
      </c>
      <c r="C76" s="253" t="e">
        <f t="shared" si="7"/>
        <v>#REF!</v>
      </c>
      <c r="D76" s="253" t="e">
        <f t="shared" si="8"/>
        <v>#REF!</v>
      </c>
      <c r="E76" s="253" t="e">
        <f t="shared" si="9"/>
        <v>#REF!</v>
      </c>
      <c r="F76" s="253" t="e">
        <f t="shared" si="10"/>
        <v>#REF!</v>
      </c>
      <c r="G76" s="253" t="e">
        <f t="shared" si="11"/>
        <v>#REF!</v>
      </c>
      <c r="H76" s="253" t="e">
        <f t="shared" si="12"/>
        <v>#REF!</v>
      </c>
    </row>
    <row r="77" spans="1:8">
      <c r="A77" s="80" t="e">
        <f t="shared" si="5"/>
        <v>#REF!</v>
      </c>
      <c r="B77" s="253" t="e">
        <f t="shared" si="6"/>
        <v>#REF!</v>
      </c>
      <c r="C77" s="253" t="e">
        <f t="shared" si="7"/>
        <v>#REF!</v>
      </c>
      <c r="D77" s="253" t="e">
        <f t="shared" si="8"/>
        <v>#REF!</v>
      </c>
      <c r="E77" s="253" t="e">
        <f t="shared" si="9"/>
        <v>#REF!</v>
      </c>
      <c r="F77" s="253" t="e">
        <f t="shared" si="10"/>
        <v>#REF!</v>
      </c>
      <c r="G77" s="253" t="e">
        <f t="shared" si="11"/>
        <v>#REF!</v>
      </c>
      <c r="H77" s="253" t="e">
        <f t="shared" si="12"/>
        <v>#REF!</v>
      </c>
    </row>
    <row r="78" spans="1:8">
      <c r="A78" s="80" t="e">
        <f t="shared" si="5"/>
        <v>#REF!</v>
      </c>
      <c r="B78" s="253" t="e">
        <f t="shared" si="6"/>
        <v>#REF!</v>
      </c>
      <c r="C78" s="253" t="e">
        <f t="shared" si="7"/>
        <v>#REF!</v>
      </c>
      <c r="D78" s="253" t="e">
        <f t="shared" si="8"/>
        <v>#REF!</v>
      </c>
      <c r="E78" s="253" t="e">
        <f t="shared" si="9"/>
        <v>#REF!</v>
      </c>
      <c r="F78" s="253" t="e">
        <f t="shared" si="10"/>
        <v>#REF!</v>
      </c>
      <c r="G78" s="253" t="e">
        <f t="shared" si="11"/>
        <v>#REF!</v>
      </c>
      <c r="H78" s="253" t="e">
        <f t="shared" si="12"/>
        <v>#REF!</v>
      </c>
    </row>
    <row r="79" spans="1:8">
      <c r="A79" s="80" t="e">
        <f t="shared" si="5"/>
        <v>#REF!</v>
      </c>
      <c r="B79" s="253" t="e">
        <f t="shared" si="6"/>
        <v>#REF!</v>
      </c>
      <c r="C79" s="253" t="e">
        <f t="shared" si="7"/>
        <v>#REF!</v>
      </c>
      <c r="D79" s="253" t="e">
        <f t="shared" si="8"/>
        <v>#REF!</v>
      </c>
      <c r="E79" s="253" t="e">
        <f t="shared" si="9"/>
        <v>#REF!</v>
      </c>
      <c r="F79" s="253" t="e">
        <f t="shared" si="10"/>
        <v>#REF!</v>
      </c>
      <c r="G79" s="253" t="e">
        <f t="shared" si="11"/>
        <v>#REF!</v>
      </c>
      <c r="H79" s="253" t="e">
        <f t="shared" si="12"/>
        <v>#REF!</v>
      </c>
    </row>
    <row r="80" spans="1:8">
      <c r="A80" s="80" t="e">
        <f t="shared" si="5"/>
        <v>#REF!</v>
      </c>
      <c r="B80" s="253" t="e">
        <f t="shared" si="6"/>
        <v>#REF!</v>
      </c>
      <c r="C80" s="253" t="e">
        <f t="shared" si="7"/>
        <v>#REF!</v>
      </c>
      <c r="D80" s="253" t="e">
        <f t="shared" si="8"/>
        <v>#REF!</v>
      </c>
      <c r="E80" s="253" t="e">
        <f t="shared" si="9"/>
        <v>#REF!</v>
      </c>
      <c r="F80" s="253" t="e">
        <f t="shared" si="10"/>
        <v>#REF!</v>
      </c>
      <c r="G80" s="253" t="e">
        <f t="shared" si="11"/>
        <v>#REF!</v>
      </c>
      <c r="H80" s="253" t="e">
        <f t="shared" si="12"/>
        <v>#REF!</v>
      </c>
    </row>
    <row r="81" spans="1:12">
      <c r="A81" s="80" t="e">
        <f t="shared" si="5"/>
        <v>#REF!</v>
      </c>
      <c r="B81" s="253" t="e">
        <f t="shared" si="6"/>
        <v>#REF!</v>
      </c>
      <c r="C81" s="253" t="e">
        <f t="shared" si="7"/>
        <v>#REF!</v>
      </c>
      <c r="D81" s="253" t="e">
        <f t="shared" si="8"/>
        <v>#REF!</v>
      </c>
      <c r="E81" s="253" t="e">
        <f t="shared" si="9"/>
        <v>#REF!</v>
      </c>
      <c r="F81" s="253" t="e">
        <f t="shared" si="10"/>
        <v>#REF!</v>
      </c>
      <c r="G81" s="253" t="e">
        <f t="shared" si="11"/>
        <v>#REF!</v>
      </c>
      <c r="H81" s="253" t="e">
        <f t="shared" si="12"/>
        <v>#REF!</v>
      </c>
    </row>
    <row r="82" spans="1:12">
      <c r="A82" s="80" t="e">
        <f t="shared" si="5"/>
        <v>#REF!</v>
      </c>
      <c r="B82" s="253" t="e">
        <f t="shared" si="6"/>
        <v>#REF!</v>
      </c>
      <c r="C82" s="253" t="e">
        <f t="shared" si="7"/>
        <v>#REF!</v>
      </c>
      <c r="D82" s="253" t="e">
        <f t="shared" si="8"/>
        <v>#REF!</v>
      </c>
      <c r="E82" s="253" t="e">
        <f t="shared" si="9"/>
        <v>#REF!</v>
      </c>
      <c r="F82" s="253" t="e">
        <f t="shared" si="10"/>
        <v>#REF!</v>
      </c>
      <c r="G82" s="253" t="e">
        <f t="shared" si="11"/>
        <v>#REF!</v>
      </c>
      <c r="H82" s="253" t="e">
        <f t="shared" si="12"/>
        <v>#REF!</v>
      </c>
    </row>
    <row r="83" spans="1:12">
      <c r="A83" s="80" t="e">
        <f t="shared" si="5"/>
        <v>#REF!</v>
      </c>
      <c r="B83" s="253" t="e">
        <f t="shared" si="6"/>
        <v>#REF!</v>
      </c>
      <c r="C83" s="253" t="e">
        <f t="shared" si="7"/>
        <v>#REF!</v>
      </c>
      <c r="D83" s="253" t="e">
        <f t="shared" si="8"/>
        <v>#REF!</v>
      </c>
      <c r="E83" s="253" t="e">
        <f t="shared" si="9"/>
        <v>#REF!</v>
      </c>
      <c r="F83" s="253" t="e">
        <f t="shared" si="10"/>
        <v>#REF!</v>
      </c>
      <c r="G83" s="253" t="e">
        <f t="shared" si="11"/>
        <v>#REF!</v>
      </c>
      <c r="H83" s="253" t="e">
        <f t="shared" si="12"/>
        <v>#REF!</v>
      </c>
    </row>
    <row r="84" spans="1:12">
      <c r="A84" s="80" t="e">
        <f t="shared" si="5"/>
        <v>#REF!</v>
      </c>
      <c r="B84" s="253" t="e">
        <f t="shared" si="6"/>
        <v>#REF!</v>
      </c>
      <c r="C84" s="253" t="e">
        <f t="shared" ref="C84:H89" si="13">C27*$B$63</f>
        <v>#REF!</v>
      </c>
      <c r="D84" s="253" t="e">
        <f t="shared" si="13"/>
        <v>#REF!</v>
      </c>
      <c r="E84" s="253" t="e">
        <f t="shared" si="13"/>
        <v>#REF!</v>
      </c>
      <c r="F84" s="253" t="e">
        <f t="shared" si="13"/>
        <v>#REF!</v>
      </c>
      <c r="G84" s="253" t="e">
        <f t="shared" si="13"/>
        <v>#REF!</v>
      </c>
      <c r="H84" s="253" t="e">
        <f t="shared" si="13"/>
        <v>#REF!</v>
      </c>
    </row>
    <row r="85" spans="1:12">
      <c r="A85" s="80" t="e">
        <f t="shared" si="5"/>
        <v>#REF!</v>
      </c>
      <c r="B85" s="253" t="e">
        <f t="shared" si="6"/>
        <v>#REF!</v>
      </c>
      <c r="C85" s="253" t="e">
        <f t="shared" si="13"/>
        <v>#REF!</v>
      </c>
      <c r="D85" s="253" t="e">
        <f t="shared" si="13"/>
        <v>#REF!</v>
      </c>
      <c r="E85" s="253" t="e">
        <f t="shared" si="13"/>
        <v>#REF!</v>
      </c>
      <c r="F85" s="253" t="e">
        <f t="shared" si="13"/>
        <v>#REF!</v>
      </c>
      <c r="G85" s="253" t="e">
        <f t="shared" si="13"/>
        <v>#REF!</v>
      </c>
      <c r="H85" s="253" t="e">
        <f t="shared" si="13"/>
        <v>#REF!</v>
      </c>
    </row>
    <row r="86" spans="1:12">
      <c r="A86" s="80" t="e">
        <f t="shared" si="5"/>
        <v>#REF!</v>
      </c>
      <c r="B86" s="253" t="e">
        <f t="shared" si="6"/>
        <v>#REF!</v>
      </c>
      <c r="C86" s="253" t="e">
        <f t="shared" si="13"/>
        <v>#REF!</v>
      </c>
      <c r="D86" s="253" t="e">
        <f t="shared" si="13"/>
        <v>#REF!</v>
      </c>
      <c r="E86" s="253" t="e">
        <f t="shared" si="13"/>
        <v>#REF!</v>
      </c>
      <c r="F86" s="253" t="e">
        <f t="shared" si="13"/>
        <v>#REF!</v>
      </c>
      <c r="G86" s="253" t="e">
        <f t="shared" si="13"/>
        <v>#REF!</v>
      </c>
      <c r="H86" s="253" t="e">
        <f t="shared" si="13"/>
        <v>#REF!</v>
      </c>
    </row>
    <row r="87" spans="1:12">
      <c r="A87" s="80" t="e">
        <f t="shared" si="5"/>
        <v>#REF!</v>
      </c>
      <c r="B87" s="253" t="e">
        <f t="shared" si="6"/>
        <v>#REF!</v>
      </c>
      <c r="C87" s="253" t="e">
        <f t="shared" si="13"/>
        <v>#REF!</v>
      </c>
      <c r="D87" s="253" t="e">
        <f t="shared" si="13"/>
        <v>#REF!</v>
      </c>
      <c r="E87" s="253" t="e">
        <f t="shared" si="13"/>
        <v>#REF!</v>
      </c>
      <c r="F87" s="253" t="e">
        <f t="shared" si="13"/>
        <v>#REF!</v>
      </c>
      <c r="G87" s="253" t="e">
        <f t="shared" si="13"/>
        <v>#REF!</v>
      </c>
      <c r="H87" s="253" t="e">
        <f t="shared" si="13"/>
        <v>#REF!</v>
      </c>
    </row>
    <row r="88" spans="1:12">
      <c r="A88" s="80" t="e">
        <f t="shared" si="5"/>
        <v>#REF!</v>
      </c>
      <c r="B88" s="253" t="e">
        <f t="shared" si="6"/>
        <v>#REF!</v>
      </c>
      <c r="C88" s="253" t="e">
        <f t="shared" si="13"/>
        <v>#REF!</v>
      </c>
      <c r="D88" s="253" t="e">
        <f t="shared" si="13"/>
        <v>#REF!</v>
      </c>
      <c r="E88" s="253" t="e">
        <f t="shared" si="13"/>
        <v>#REF!</v>
      </c>
      <c r="F88" s="253" t="e">
        <f t="shared" si="13"/>
        <v>#REF!</v>
      </c>
      <c r="G88" s="253" t="e">
        <f t="shared" si="13"/>
        <v>#REF!</v>
      </c>
      <c r="H88" s="253" t="e">
        <f t="shared" si="13"/>
        <v>#REF!</v>
      </c>
    </row>
    <row r="89" spans="1:12">
      <c r="A89" s="80" t="e">
        <f t="shared" si="5"/>
        <v>#REF!</v>
      </c>
      <c r="B89" s="253" t="e">
        <f t="shared" si="6"/>
        <v>#REF!</v>
      </c>
      <c r="C89" s="253" t="e">
        <f t="shared" si="13"/>
        <v>#REF!</v>
      </c>
      <c r="D89" s="253" t="e">
        <f t="shared" si="13"/>
        <v>#REF!</v>
      </c>
      <c r="E89" s="253" t="e">
        <f t="shared" si="13"/>
        <v>#REF!</v>
      </c>
      <c r="F89" s="253" t="e">
        <f t="shared" si="13"/>
        <v>#REF!</v>
      </c>
      <c r="G89" s="253" t="e">
        <f t="shared" si="13"/>
        <v>#REF!</v>
      </c>
      <c r="H89" s="253" t="e">
        <f t="shared" si="13"/>
        <v>#REF!</v>
      </c>
    </row>
    <row r="90" spans="1:12">
      <c r="A90" s="80"/>
      <c r="B90" s="253"/>
      <c r="C90" s="253"/>
      <c r="D90" s="253"/>
      <c r="E90" s="253"/>
      <c r="F90" s="253"/>
      <c r="G90" s="253"/>
      <c r="H90" s="253"/>
      <c r="J90" s="272"/>
      <c r="K90" s="272"/>
      <c r="L90" s="272"/>
    </row>
    <row r="91" spans="1:12">
      <c r="A91" s="80" t="str">
        <f t="shared" ref="A91:A109" si="14">A34</f>
        <v>Fruit  &amp; Vegetables Crop Production Details</v>
      </c>
      <c r="B91" s="253"/>
      <c r="C91" s="253"/>
      <c r="D91" s="253"/>
      <c r="E91" s="253"/>
      <c r="F91" s="253"/>
      <c r="G91" s="253"/>
      <c r="H91" s="253"/>
      <c r="J91" s="272"/>
      <c r="K91" s="272"/>
      <c r="L91" s="272"/>
    </row>
    <row r="92" spans="1:12">
      <c r="A92" s="80" t="str">
        <f t="shared" si="14"/>
        <v>Okra</v>
      </c>
      <c r="B92" s="253">
        <f t="shared" ref="B92:H101" si="15">B35</f>
        <v>0</v>
      </c>
      <c r="C92" s="253">
        <f t="shared" si="15"/>
        <v>0</v>
      </c>
      <c r="D92" s="253">
        <f t="shared" si="15"/>
        <v>0</v>
      </c>
      <c r="E92" s="253">
        <f t="shared" si="15"/>
        <v>0</v>
      </c>
      <c r="F92" s="253">
        <f t="shared" si="15"/>
        <v>0</v>
      </c>
      <c r="G92" s="253">
        <f t="shared" si="15"/>
        <v>0</v>
      </c>
      <c r="H92" s="253">
        <f t="shared" si="15"/>
        <v>0</v>
      </c>
      <c r="J92" s="272"/>
      <c r="K92" s="272"/>
      <c r="L92" s="272"/>
    </row>
    <row r="93" spans="1:12">
      <c r="A93" s="80" t="e">
        <f t="shared" si="14"/>
        <v>#REF!</v>
      </c>
      <c r="B93" s="253" t="e">
        <f t="shared" si="15"/>
        <v>#REF!</v>
      </c>
      <c r="C93" s="253" t="e">
        <f t="shared" si="15"/>
        <v>#REF!</v>
      </c>
      <c r="D93" s="253" t="e">
        <f t="shared" si="15"/>
        <v>#REF!</v>
      </c>
      <c r="E93" s="253" t="e">
        <f t="shared" si="15"/>
        <v>#REF!</v>
      </c>
      <c r="F93" s="253" t="e">
        <f t="shared" si="15"/>
        <v>#REF!</v>
      </c>
      <c r="G93" s="253" t="e">
        <f t="shared" si="15"/>
        <v>#REF!</v>
      </c>
      <c r="H93" s="253" t="e">
        <f t="shared" si="15"/>
        <v>#REF!</v>
      </c>
      <c r="J93" s="272"/>
      <c r="K93" s="272"/>
      <c r="L93" s="272"/>
    </row>
    <row r="94" spans="1:12">
      <c r="A94" s="80" t="e">
        <f t="shared" si="14"/>
        <v>#REF!</v>
      </c>
      <c r="B94" s="253" t="e">
        <f t="shared" si="15"/>
        <v>#REF!</v>
      </c>
      <c r="C94" s="253" t="e">
        <f t="shared" si="15"/>
        <v>#REF!</v>
      </c>
      <c r="D94" s="253" t="e">
        <f t="shared" si="15"/>
        <v>#REF!</v>
      </c>
      <c r="E94" s="253" t="e">
        <f t="shared" si="15"/>
        <v>#REF!</v>
      </c>
      <c r="F94" s="253" t="e">
        <f t="shared" si="15"/>
        <v>#REF!</v>
      </c>
      <c r="G94" s="253" t="e">
        <f t="shared" si="15"/>
        <v>#REF!</v>
      </c>
      <c r="H94" s="253" t="e">
        <f t="shared" si="15"/>
        <v>#REF!</v>
      </c>
      <c r="J94" s="272"/>
      <c r="K94" s="272"/>
      <c r="L94" s="272"/>
    </row>
    <row r="95" spans="1:12">
      <c r="A95" s="80" t="str">
        <f t="shared" si="14"/>
        <v>Chilli</v>
      </c>
      <c r="B95" s="253">
        <f t="shared" si="15"/>
        <v>0</v>
      </c>
      <c r="C95" s="253">
        <f t="shared" si="15"/>
        <v>0</v>
      </c>
      <c r="D95" s="253">
        <f t="shared" si="15"/>
        <v>0</v>
      </c>
      <c r="E95" s="253">
        <f t="shared" si="15"/>
        <v>0</v>
      </c>
      <c r="F95" s="253">
        <f t="shared" si="15"/>
        <v>0</v>
      </c>
      <c r="G95" s="253">
        <f t="shared" si="15"/>
        <v>0</v>
      </c>
      <c r="H95" s="253">
        <f t="shared" si="15"/>
        <v>0</v>
      </c>
      <c r="J95" s="272"/>
      <c r="K95" s="272"/>
      <c r="L95" s="272"/>
    </row>
    <row r="96" spans="1:12">
      <c r="A96" s="80" t="e">
        <f t="shared" si="14"/>
        <v>#REF!</v>
      </c>
      <c r="B96" s="253" t="e">
        <f t="shared" si="15"/>
        <v>#REF!</v>
      </c>
      <c r="C96" s="253" t="e">
        <f t="shared" si="15"/>
        <v>#REF!</v>
      </c>
      <c r="D96" s="253" t="e">
        <f t="shared" si="15"/>
        <v>#REF!</v>
      </c>
      <c r="E96" s="253" t="e">
        <f t="shared" si="15"/>
        <v>#REF!</v>
      </c>
      <c r="F96" s="253" t="e">
        <f t="shared" si="15"/>
        <v>#REF!</v>
      </c>
      <c r="G96" s="253" t="e">
        <f t="shared" si="15"/>
        <v>#REF!</v>
      </c>
      <c r="H96" s="253" t="e">
        <f t="shared" si="15"/>
        <v>#REF!</v>
      </c>
      <c r="J96" s="272"/>
      <c r="K96" s="272"/>
      <c r="L96" s="272"/>
    </row>
    <row r="97" spans="1:12">
      <c r="A97" s="80" t="e">
        <f t="shared" si="14"/>
        <v>#REF!</v>
      </c>
      <c r="B97" s="253" t="e">
        <f t="shared" si="15"/>
        <v>#REF!</v>
      </c>
      <c r="C97" s="253" t="e">
        <f t="shared" si="15"/>
        <v>#REF!</v>
      </c>
      <c r="D97" s="253" t="e">
        <f t="shared" si="15"/>
        <v>#REF!</v>
      </c>
      <c r="E97" s="253" t="e">
        <f t="shared" si="15"/>
        <v>#REF!</v>
      </c>
      <c r="F97" s="253" t="e">
        <f t="shared" si="15"/>
        <v>#REF!</v>
      </c>
      <c r="G97" s="253" t="e">
        <f t="shared" si="15"/>
        <v>#REF!</v>
      </c>
      <c r="H97" s="253" t="e">
        <f t="shared" si="15"/>
        <v>#REF!</v>
      </c>
      <c r="J97" s="272"/>
      <c r="K97" s="272"/>
      <c r="L97" s="272"/>
    </row>
    <row r="98" spans="1:12">
      <c r="A98" s="80" t="e">
        <f t="shared" si="14"/>
        <v>#REF!</v>
      </c>
      <c r="B98" s="253" t="e">
        <f t="shared" si="15"/>
        <v>#REF!</v>
      </c>
      <c r="C98" s="253" t="e">
        <f t="shared" si="15"/>
        <v>#REF!</v>
      </c>
      <c r="D98" s="253" t="e">
        <f t="shared" si="15"/>
        <v>#REF!</v>
      </c>
      <c r="E98" s="253" t="e">
        <f t="shared" si="15"/>
        <v>#REF!</v>
      </c>
      <c r="F98" s="253" t="e">
        <f t="shared" si="15"/>
        <v>#REF!</v>
      </c>
      <c r="G98" s="253" t="e">
        <f t="shared" si="15"/>
        <v>#REF!</v>
      </c>
      <c r="H98" s="253" t="e">
        <f t="shared" si="15"/>
        <v>#REF!</v>
      </c>
      <c r="J98" s="272"/>
      <c r="K98" s="272"/>
      <c r="L98" s="272"/>
    </row>
    <row r="99" spans="1:12">
      <c r="A99" s="80" t="e">
        <f t="shared" si="14"/>
        <v>#REF!</v>
      </c>
      <c r="B99" s="253" t="e">
        <f t="shared" si="15"/>
        <v>#REF!</v>
      </c>
      <c r="C99" s="253" t="e">
        <f t="shared" si="15"/>
        <v>#REF!</v>
      </c>
      <c r="D99" s="253" t="e">
        <f t="shared" si="15"/>
        <v>#REF!</v>
      </c>
      <c r="E99" s="253" t="e">
        <f t="shared" si="15"/>
        <v>#REF!</v>
      </c>
      <c r="F99" s="253" t="e">
        <f t="shared" si="15"/>
        <v>#REF!</v>
      </c>
      <c r="G99" s="253" t="e">
        <f t="shared" si="15"/>
        <v>#REF!</v>
      </c>
      <c r="H99" s="253" t="e">
        <f t="shared" si="15"/>
        <v>#REF!</v>
      </c>
      <c r="J99" s="272"/>
      <c r="K99" s="272"/>
      <c r="L99" s="272"/>
    </row>
    <row r="100" spans="1:12">
      <c r="A100" s="80" t="e">
        <f t="shared" si="14"/>
        <v>#REF!</v>
      </c>
      <c r="B100" s="253" t="e">
        <f t="shared" si="15"/>
        <v>#REF!</v>
      </c>
      <c r="C100" s="253" t="e">
        <f t="shared" si="15"/>
        <v>#REF!</v>
      </c>
      <c r="D100" s="253" t="e">
        <f t="shared" si="15"/>
        <v>#REF!</v>
      </c>
      <c r="E100" s="253" t="e">
        <f t="shared" si="15"/>
        <v>#REF!</v>
      </c>
      <c r="F100" s="253" t="e">
        <f t="shared" si="15"/>
        <v>#REF!</v>
      </c>
      <c r="G100" s="253" t="e">
        <f t="shared" si="15"/>
        <v>#REF!</v>
      </c>
      <c r="H100" s="253" t="e">
        <f t="shared" si="15"/>
        <v>#REF!</v>
      </c>
      <c r="J100" s="272"/>
      <c r="K100" s="272"/>
      <c r="L100" s="272"/>
    </row>
    <row r="101" spans="1:12">
      <c r="A101" s="80" t="e">
        <f t="shared" si="14"/>
        <v>#REF!</v>
      </c>
      <c r="B101" s="253" t="e">
        <f t="shared" si="15"/>
        <v>#REF!</v>
      </c>
      <c r="C101" s="253" t="e">
        <f t="shared" si="15"/>
        <v>#REF!</v>
      </c>
      <c r="D101" s="253" t="e">
        <f t="shared" si="15"/>
        <v>#REF!</v>
      </c>
      <c r="E101" s="253" t="e">
        <f t="shared" si="15"/>
        <v>#REF!</v>
      </c>
      <c r="F101" s="253" t="e">
        <f t="shared" si="15"/>
        <v>#REF!</v>
      </c>
      <c r="G101" s="253" t="e">
        <f t="shared" si="15"/>
        <v>#REF!</v>
      </c>
      <c r="H101" s="253" t="e">
        <f t="shared" si="15"/>
        <v>#REF!</v>
      </c>
      <c r="J101" s="272"/>
      <c r="K101" s="272"/>
      <c r="L101" s="272"/>
    </row>
    <row r="102" spans="1:12">
      <c r="A102" s="80" t="e">
        <f t="shared" si="14"/>
        <v>#REF!</v>
      </c>
      <c r="B102" s="253" t="e">
        <f t="shared" ref="B102:H109" si="16">B45</f>
        <v>#REF!</v>
      </c>
      <c r="C102" s="253" t="e">
        <f t="shared" si="16"/>
        <v>#REF!</v>
      </c>
      <c r="D102" s="253" t="e">
        <f t="shared" si="16"/>
        <v>#REF!</v>
      </c>
      <c r="E102" s="253" t="e">
        <f t="shared" si="16"/>
        <v>#REF!</v>
      </c>
      <c r="F102" s="253" t="e">
        <f t="shared" si="16"/>
        <v>#REF!</v>
      </c>
      <c r="G102" s="253" t="e">
        <f t="shared" si="16"/>
        <v>#REF!</v>
      </c>
      <c r="H102" s="253" t="e">
        <f t="shared" si="16"/>
        <v>#REF!</v>
      </c>
      <c r="J102" s="272"/>
      <c r="K102" s="272"/>
      <c r="L102" s="272"/>
    </row>
    <row r="103" spans="1:12">
      <c r="A103" s="80" t="e">
        <f t="shared" si="14"/>
        <v>#REF!</v>
      </c>
      <c r="B103" s="253" t="e">
        <f t="shared" si="16"/>
        <v>#REF!</v>
      </c>
      <c r="C103" s="253" t="e">
        <f t="shared" si="16"/>
        <v>#REF!</v>
      </c>
      <c r="D103" s="253" t="e">
        <f t="shared" si="16"/>
        <v>#REF!</v>
      </c>
      <c r="E103" s="253" t="e">
        <f t="shared" si="16"/>
        <v>#REF!</v>
      </c>
      <c r="F103" s="253" t="e">
        <f t="shared" si="16"/>
        <v>#REF!</v>
      </c>
      <c r="G103" s="253" t="e">
        <f t="shared" si="16"/>
        <v>#REF!</v>
      </c>
      <c r="H103" s="253" t="e">
        <f t="shared" si="16"/>
        <v>#REF!</v>
      </c>
      <c r="J103" s="272"/>
      <c r="K103" s="272"/>
      <c r="L103" s="272"/>
    </row>
    <row r="104" spans="1:12">
      <c r="A104" s="80" t="e">
        <f t="shared" si="14"/>
        <v>#REF!</v>
      </c>
      <c r="B104" s="253" t="e">
        <f t="shared" si="16"/>
        <v>#REF!</v>
      </c>
      <c r="C104" s="253" t="e">
        <f t="shared" si="16"/>
        <v>#REF!</v>
      </c>
      <c r="D104" s="253" t="e">
        <f t="shared" si="16"/>
        <v>#REF!</v>
      </c>
      <c r="E104" s="253" t="e">
        <f t="shared" si="16"/>
        <v>#REF!</v>
      </c>
      <c r="F104" s="253" t="e">
        <f t="shared" si="16"/>
        <v>#REF!</v>
      </c>
      <c r="G104" s="253" t="e">
        <f t="shared" si="16"/>
        <v>#REF!</v>
      </c>
      <c r="H104" s="253" t="e">
        <f t="shared" si="16"/>
        <v>#REF!</v>
      </c>
      <c r="J104" s="272"/>
      <c r="K104" s="272"/>
      <c r="L104" s="272"/>
    </row>
    <row r="105" spans="1:12">
      <c r="A105" s="80" t="e">
        <f t="shared" si="14"/>
        <v>#REF!</v>
      </c>
      <c r="B105" s="253" t="e">
        <f t="shared" si="16"/>
        <v>#REF!</v>
      </c>
      <c r="C105" s="253" t="e">
        <f t="shared" si="16"/>
        <v>#REF!</v>
      </c>
      <c r="D105" s="253" t="e">
        <f t="shared" si="16"/>
        <v>#REF!</v>
      </c>
      <c r="E105" s="253" t="e">
        <f t="shared" si="16"/>
        <v>#REF!</v>
      </c>
      <c r="F105" s="253" t="e">
        <f t="shared" si="16"/>
        <v>#REF!</v>
      </c>
      <c r="G105" s="253" t="e">
        <f t="shared" si="16"/>
        <v>#REF!</v>
      </c>
      <c r="H105" s="253" t="e">
        <f t="shared" si="16"/>
        <v>#REF!</v>
      </c>
      <c r="J105" s="272"/>
      <c r="K105" s="272"/>
      <c r="L105" s="272"/>
    </row>
    <row r="106" spans="1:12">
      <c r="A106" s="80" t="e">
        <f t="shared" si="14"/>
        <v>#REF!</v>
      </c>
      <c r="B106" s="253" t="e">
        <f t="shared" si="16"/>
        <v>#REF!</v>
      </c>
      <c r="C106" s="253" t="e">
        <f t="shared" si="16"/>
        <v>#REF!</v>
      </c>
      <c r="D106" s="253" t="e">
        <f t="shared" si="16"/>
        <v>#REF!</v>
      </c>
      <c r="E106" s="253" t="e">
        <f t="shared" si="16"/>
        <v>#REF!</v>
      </c>
      <c r="F106" s="253" t="e">
        <f t="shared" si="16"/>
        <v>#REF!</v>
      </c>
      <c r="G106" s="253" t="e">
        <f t="shared" si="16"/>
        <v>#REF!</v>
      </c>
      <c r="H106" s="253" t="e">
        <f t="shared" si="16"/>
        <v>#REF!</v>
      </c>
      <c r="J106" s="272"/>
      <c r="K106" s="272"/>
      <c r="L106" s="272"/>
    </row>
    <row r="107" spans="1:12">
      <c r="A107" s="80" t="e">
        <f t="shared" si="14"/>
        <v>#REF!</v>
      </c>
      <c r="B107" s="253" t="e">
        <f t="shared" si="16"/>
        <v>#REF!</v>
      </c>
      <c r="C107" s="253" t="e">
        <f t="shared" si="16"/>
        <v>#REF!</v>
      </c>
      <c r="D107" s="253" t="e">
        <f t="shared" si="16"/>
        <v>#REF!</v>
      </c>
      <c r="E107" s="253" t="e">
        <f t="shared" si="16"/>
        <v>#REF!</v>
      </c>
      <c r="F107" s="253" t="e">
        <f t="shared" si="16"/>
        <v>#REF!</v>
      </c>
      <c r="G107" s="253" t="e">
        <f t="shared" si="16"/>
        <v>#REF!</v>
      </c>
      <c r="H107" s="253" t="e">
        <f t="shared" si="16"/>
        <v>#REF!</v>
      </c>
      <c r="J107" s="272"/>
      <c r="K107" s="272"/>
      <c r="L107" s="272"/>
    </row>
    <row r="108" spans="1:12">
      <c r="A108" s="80" t="e">
        <f t="shared" si="14"/>
        <v>#REF!</v>
      </c>
      <c r="B108" s="253" t="e">
        <f t="shared" si="16"/>
        <v>#REF!</v>
      </c>
      <c r="C108" s="253" t="e">
        <f t="shared" si="16"/>
        <v>#REF!</v>
      </c>
      <c r="D108" s="253" t="e">
        <f t="shared" si="16"/>
        <v>#REF!</v>
      </c>
      <c r="E108" s="253" t="e">
        <f t="shared" si="16"/>
        <v>#REF!</v>
      </c>
      <c r="F108" s="253" t="e">
        <f t="shared" si="16"/>
        <v>#REF!</v>
      </c>
      <c r="G108" s="253" t="e">
        <f t="shared" si="16"/>
        <v>#REF!</v>
      </c>
      <c r="H108" s="253" t="e">
        <f t="shared" si="16"/>
        <v>#REF!</v>
      </c>
      <c r="J108" s="272"/>
      <c r="K108" s="272"/>
      <c r="L108" s="272"/>
    </row>
    <row r="109" spans="1:12">
      <c r="A109" s="80" t="e">
        <f t="shared" si="14"/>
        <v>#REF!</v>
      </c>
      <c r="B109" s="253" t="e">
        <f t="shared" si="16"/>
        <v>#REF!</v>
      </c>
      <c r="C109" s="253" t="e">
        <f t="shared" si="16"/>
        <v>#REF!</v>
      </c>
      <c r="D109" s="253" t="e">
        <f t="shared" si="16"/>
        <v>#REF!</v>
      </c>
      <c r="E109" s="253" t="e">
        <f t="shared" si="16"/>
        <v>#REF!</v>
      </c>
      <c r="F109" s="253" t="e">
        <f t="shared" si="16"/>
        <v>#REF!</v>
      </c>
      <c r="G109" s="253" t="e">
        <f t="shared" si="16"/>
        <v>#REF!</v>
      </c>
      <c r="H109" s="253" t="e">
        <f t="shared" si="16"/>
        <v>#REF!</v>
      </c>
      <c r="J109" s="272"/>
      <c r="K109" s="272"/>
      <c r="L109" s="272"/>
    </row>
    <row r="110" spans="1:12">
      <c r="A110" s="80" t="e">
        <f t="shared" ref="A110:A113" si="17">A53</f>
        <v>#REF!</v>
      </c>
      <c r="B110" s="253"/>
      <c r="C110" s="253"/>
      <c r="D110" s="253"/>
      <c r="E110" s="253"/>
      <c r="F110" s="253"/>
      <c r="G110" s="253"/>
      <c r="H110" s="253"/>
      <c r="J110" s="272"/>
      <c r="K110" s="272"/>
      <c r="L110" s="272"/>
    </row>
    <row r="111" spans="1:12">
      <c r="A111" s="80" t="e">
        <f t="shared" si="17"/>
        <v>#REF!</v>
      </c>
      <c r="B111" s="253"/>
      <c r="C111" s="253"/>
      <c r="D111" s="253"/>
      <c r="E111" s="253"/>
      <c r="F111" s="253"/>
      <c r="G111" s="253"/>
      <c r="H111" s="253"/>
      <c r="J111" s="272"/>
      <c r="K111" s="272"/>
      <c r="L111" s="272"/>
    </row>
    <row r="112" spans="1:12">
      <c r="A112" s="80" t="e">
        <f t="shared" si="17"/>
        <v>#REF!</v>
      </c>
      <c r="B112" s="253"/>
      <c r="C112" s="253"/>
      <c r="D112" s="253"/>
      <c r="E112" s="253"/>
      <c r="F112" s="253"/>
      <c r="G112" s="253"/>
      <c r="H112" s="253"/>
      <c r="J112" s="272"/>
      <c r="K112" s="272"/>
      <c r="L112" s="272"/>
    </row>
    <row r="113" spans="1:12">
      <c r="A113" s="80" t="e">
        <f t="shared" si="17"/>
        <v>#REF!</v>
      </c>
      <c r="B113" s="253" t="e">
        <f t="shared" ref="B113:H116" si="18">B56</f>
        <v>#REF!</v>
      </c>
      <c r="C113" s="253" t="e">
        <f t="shared" si="18"/>
        <v>#REF!</v>
      </c>
      <c r="D113" s="253" t="e">
        <f t="shared" si="18"/>
        <v>#REF!</v>
      </c>
      <c r="E113" s="253" t="e">
        <f t="shared" si="18"/>
        <v>#REF!</v>
      </c>
      <c r="F113" s="253" t="e">
        <f t="shared" si="18"/>
        <v>#REF!</v>
      </c>
      <c r="G113" s="253" t="e">
        <f t="shared" si="18"/>
        <v>#REF!</v>
      </c>
      <c r="H113" s="253" t="e">
        <f t="shared" si="18"/>
        <v>#REF!</v>
      </c>
      <c r="J113" s="272"/>
      <c r="K113" s="272"/>
      <c r="L113" s="272"/>
    </row>
    <row r="114" spans="1:12">
      <c r="A114" s="80" t="e">
        <f>A57</f>
        <v>#REF!</v>
      </c>
      <c r="B114" s="253" t="e">
        <f t="shared" si="18"/>
        <v>#REF!</v>
      </c>
      <c r="C114" s="253" t="e">
        <f t="shared" si="18"/>
        <v>#REF!</v>
      </c>
      <c r="D114" s="253" t="e">
        <f t="shared" si="18"/>
        <v>#REF!</v>
      </c>
      <c r="E114" s="253" t="e">
        <f t="shared" si="18"/>
        <v>#REF!</v>
      </c>
      <c r="F114" s="253" t="e">
        <f t="shared" si="18"/>
        <v>#REF!</v>
      </c>
      <c r="G114" s="253" t="e">
        <f t="shared" si="18"/>
        <v>#REF!</v>
      </c>
      <c r="H114" s="253" t="e">
        <f t="shared" si="18"/>
        <v>#REF!</v>
      </c>
      <c r="J114" s="272"/>
      <c r="K114" s="272"/>
      <c r="L114" s="272"/>
    </row>
    <row r="115" spans="1:12">
      <c r="A115" s="80" t="e">
        <f>A58</f>
        <v>#REF!</v>
      </c>
      <c r="B115" s="253" t="e">
        <f t="shared" si="18"/>
        <v>#REF!</v>
      </c>
      <c r="C115" s="253" t="e">
        <f t="shared" si="18"/>
        <v>#REF!</v>
      </c>
      <c r="D115" s="253" t="e">
        <f t="shared" si="18"/>
        <v>#REF!</v>
      </c>
      <c r="E115" s="253" t="e">
        <f t="shared" si="18"/>
        <v>#REF!</v>
      </c>
      <c r="F115" s="253" t="e">
        <f t="shared" si="18"/>
        <v>#REF!</v>
      </c>
      <c r="G115" s="253" t="e">
        <f t="shared" si="18"/>
        <v>#REF!</v>
      </c>
      <c r="H115" s="253" t="e">
        <f t="shared" si="18"/>
        <v>#REF!</v>
      </c>
      <c r="J115" s="272"/>
      <c r="K115" s="272"/>
      <c r="L115" s="272"/>
    </row>
    <row r="116" spans="1:12">
      <c r="A116" s="80" t="e">
        <f>A59</f>
        <v>#REF!</v>
      </c>
      <c r="B116" s="253" t="e">
        <f t="shared" si="18"/>
        <v>#REF!</v>
      </c>
      <c r="C116" s="253" t="e">
        <f t="shared" si="18"/>
        <v>#REF!</v>
      </c>
      <c r="D116" s="253" t="e">
        <f t="shared" si="18"/>
        <v>#REF!</v>
      </c>
      <c r="E116" s="253" t="e">
        <f t="shared" si="18"/>
        <v>#REF!</v>
      </c>
      <c r="F116" s="253" t="e">
        <f t="shared" si="18"/>
        <v>#REF!</v>
      </c>
      <c r="G116" s="253" t="e">
        <f t="shared" si="18"/>
        <v>#REF!</v>
      </c>
      <c r="H116" s="253" t="e">
        <f t="shared" si="18"/>
        <v>#REF!</v>
      </c>
      <c r="J116" s="272"/>
      <c r="K116" s="272"/>
      <c r="L116" s="272"/>
    </row>
    <row r="117" spans="1:12">
      <c r="A117" s="80"/>
      <c r="B117" s="253"/>
      <c r="C117" s="253"/>
      <c r="D117" s="253"/>
      <c r="E117" s="253"/>
      <c r="F117" s="253"/>
      <c r="G117" s="253"/>
      <c r="H117" s="253"/>
      <c r="J117" s="272"/>
      <c r="K117" s="272"/>
      <c r="L117" s="272"/>
    </row>
    <row r="118" spans="1:12">
      <c r="A118" s="80"/>
      <c r="B118" s="253"/>
      <c r="C118" s="253"/>
      <c r="D118" s="253"/>
      <c r="E118" s="253"/>
      <c r="F118" s="253"/>
      <c r="G118" s="253"/>
      <c r="H118" s="253"/>
      <c r="J118" s="272"/>
      <c r="K118" s="272"/>
      <c r="L118" s="272"/>
    </row>
    <row r="119" spans="1:12">
      <c r="A119" s="86" t="s">
        <v>135</v>
      </c>
      <c r="B119" s="80"/>
      <c r="C119" s="80"/>
      <c r="D119" s="80"/>
      <c r="E119" s="80"/>
      <c r="F119" s="80"/>
      <c r="G119" s="80"/>
      <c r="H119" s="80"/>
    </row>
    <row r="120" spans="1:12">
      <c r="A120" s="84" t="e">
        <f t="shared" ref="A120:A141" si="19">A68</f>
        <v>#REF!</v>
      </c>
      <c r="B120" s="254" t="e">
        <f t="shared" ref="B120:H129" si="20">B68-(B68*$G$6)</f>
        <v>#REF!</v>
      </c>
      <c r="C120" s="254" t="e">
        <f t="shared" si="20"/>
        <v>#REF!</v>
      </c>
      <c r="D120" s="254" t="e">
        <f t="shared" si="20"/>
        <v>#REF!</v>
      </c>
      <c r="E120" s="254" t="e">
        <f t="shared" si="20"/>
        <v>#REF!</v>
      </c>
      <c r="F120" s="254" t="e">
        <f t="shared" si="20"/>
        <v>#REF!</v>
      </c>
      <c r="G120" s="254" t="e">
        <f t="shared" si="20"/>
        <v>#REF!</v>
      </c>
      <c r="H120" s="254" t="e">
        <f t="shared" si="20"/>
        <v>#REF!</v>
      </c>
    </row>
    <row r="121" spans="1:12">
      <c r="A121" s="84" t="e">
        <f t="shared" si="19"/>
        <v>#REF!</v>
      </c>
      <c r="B121" s="254" t="e">
        <f t="shared" si="20"/>
        <v>#REF!</v>
      </c>
      <c r="C121" s="254" t="e">
        <f t="shared" si="20"/>
        <v>#REF!</v>
      </c>
      <c r="D121" s="254" t="e">
        <f t="shared" si="20"/>
        <v>#REF!</v>
      </c>
      <c r="E121" s="254" t="e">
        <f t="shared" si="20"/>
        <v>#REF!</v>
      </c>
      <c r="F121" s="254" t="e">
        <f t="shared" si="20"/>
        <v>#REF!</v>
      </c>
      <c r="G121" s="254" t="e">
        <f t="shared" si="20"/>
        <v>#REF!</v>
      </c>
      <c r="H121" s="254" t="e">
        <f t="shared" si="20"/>
        <v>#REF!</v>
      </c>
    </row>
    <row r="122" spans="1:12">
      <c r="A122" s="84" t="e">
        <f t="shared" si="19"/>
        <v>#REF!</v>
      </c>
      <c r="B122" s="254" t="e">
        <f t="shared" si="20"/>
        <v>#REF!</v>
      </c>
      <c r="C122" s="254" t="e">
        <f t="shared" si="20"/>
        <v>#REF!</v>
      </c>
      <c r="D122" s="254" t="e">
        <f t="shared" si="20"/>
        <v>#REF!</v>
      </c>
      <c r="E122" s="254" t="e">
        <f t="shared" si="20"/>
        <v>#REF!</v>
      </c>
      <c r="F122" s="254" t="e">
        <f t="shared" si="20"/>
        <v>#REF!</v>
      </c>
      <c r="G122" s="254" t="e">
        <f t="shared" si="20"/>
        <v>#REF!</v>
      </c>
      <c r="H122" s="254" t="e">
        <f t="shared" si="20"/>
        <v>#REF!</v>
      </c>
    </row>
    <row r="123" spans="1:12">
      <c r="A123" s="84" t="e">
        <f t="shared" si="19"/>
        <v>#REF!</v>
      </c>
      <c r="B123" s="254" t="e">
        <f t="shared" si="20"/>
        <v>#REF!</v>
      </c>
      <c r="C123" s="254" t="e">
        <f t="shared" si="20"/>
        <v>#REF!</v>
      </c>
      <c r="D123" s="254" t="e">
        <f t="shared" si="20"/>
        <v>#REF!</v>
      </c>
      <c r="E123" s="254" t="e">
        <f t="shared" si="20"/>
        <v>#REF!</v>
      </c>
      <c r="F123" s="254" t="e">
        <f t="shared" si="20"/>
        <v>#REF!</v>
      </c>
      <c r="G123" s="254" t="e">
        <f t="shared" si="20"/>
        <v>#REF!</v>
      </c>
      <c r="H123" s="254" t="e">
        <f t="shared" si="20"/>
        <v>#REF!</v>
      </c>
    </row>
    <row r="124" spans="1:12">
      <c r="A124" s="84" t="e">
        <f t="shared" si="19"/>
        <v>#REF!</v>
      </c>
      <c r="B124" s="254" t="e">
        <f t="shared" si="20"/>
        <v>#REF!</v>
      </c>
      <c r="C124" s="254" t="e">
        <f t="shared" si="20"/>
        <v>#REF!</v>
      </c>
      <c r="D124" s="254" t="e">
        <f t="shared" si="20"/>
        <v>#REF!</v>
      </c>
      <c r="E124" s="254" t="e">
        <f t="shared" si="20"/>
        <v>#REF!</v>
      </c>
      <c r="F124" s="254" t="e">
        <f t="shared" si="20"/>
        <v>#REF!</v>
      </c>
      <c r="G124" s="254" t="e">
        <f t="shared" si="20"/>
        <v>#REF!</v>
      </c>
      <c r="H124" s="254" t="e">
        <f t="shared" si="20"/>
        <v>#REF!</v>
      </c>
    </row>
    <row r="125" spans="1:12">
      <c r="A125" s="84" t="e">
        <f t="shared" si="19"/>
        <v>#REF!</v>
      </c>
      <c r="B125" s="254" t="e">
        <f t="shared" si="20"/>
        <v>#REF!</v>
      </c>
      <c r="C125" s="254" t="e">
        <f t="shared" si="20"/>
        <v>#REF!</v>
      </c>
      <c r="D125" s="254" t="e">
        <f t="shared" si="20"/>
        <v>#REF!</v>
      </c>
      <c r="E125" s="254" t="e">
        <f t="shared" si="20"/>
        <v>#REF!</v>
      </c>
      <c r="F125" s="254" t="e">
        <f t="shared" si="20"/>
        <v>#REF!</v>
      </c>
      <c r="G125" s="254" t="e">
        <f t="shared" si="20"/>
        <v>#REF!</v>
      </c>
      <c r="H125" s="254" t="e">
        <f t="shared" si="20"/>
        <v>#REF!</v>
      </c>
    </row>
    <row r="126" spans="1:12">
      <c r="A126" s="84" t="e">
        <f t="shared" si="19"/>
        <v>#REF!</v>
      </c>
      <c r="B126" s="254" t="e">
        <f t="shared" si="20"/>
        <v>#REF!</v>
      </c>
      <c r="C126" s="254" t="e">
        <f t="shared" si="20"/>
        <v>#REF!</v>
      </c>
      <c r="D126" s="254" t="e">
        <f t="shared" si="20"/>
        <v>#REF!</v>
      </c>
      <c r="E126" s="254" t="e">
        <f t="shared" si="20"/>
        <v>#REF!</v>
      </c>
      <c r="F126" s="254" t="e">
        <f t="shared" si="20"/>
        <v>#REF!</v>
      </c>
      <c r="G126" s="254" t="e">
        <f t="shared" si="20"/>
        <v>#REF!</v>
      </c>
      <c r="H126" s="254" t="e">
        <f t="shared" si="20"/>
        <v>#REF!</v>
      </c>
    </row>
    <row r="127" spans="1:12">
      <c r="A127" s="84" t="e">
        <f t="shared" si="19"/>
        <v>#REF!</v>
      </c>
      <c r="B127" s="254" t="e">
        <f t="shared" si="20"/>
        <v>#REF!</v>
      </c>
      <c r="C127" s="254" t="e">
        <f t="shared" si="20"/>
        <v>#REF!</v>
      </c>
      <c r="D127" s="254" t="e">
        <f t="shared" si="20"/>
        <v>#REF!</v>
      </c>
      <c r="E127" s="254" t="e">
        <f t="shared" si="20"/>
        <v>#REF!</v>
      </c>
      <c r="F127" s="254" t="e">
        <f t="shared" si="20"/>
        <v>#REF!</v>
      </c>
      <c r="G127" s="254" t="e">
        <f t="shared" si="20"/>
        <v>#REF!</v>
      </c>
      <c r="H127" s="254" t="e">
        <f t="shared" si="20"/>
        <v>#REF!</v>
      </c>
    </row>
    <row r="128" spans="1:12">
      <c r="A128" s="84" t="e">
        <f t="shared" si="19"/>
        <v>#REF!</v>
      </c>
      <c r="B128" s="254" t="e">
        <f t="shared" si="20"/>
        <v>#REF!</v>
      </c>
      <c r="C128" s="254" t="e">
        <f t="shared" si="20"/>
        <v>#REF!</v>
      </c>
      <c r="D128" s="254" t="e">
        <f t="shared" si="20"/>
        <v>#REF!</v>
      </c>
      <c r="E128" s="254" t="e">
        <f t="shared" si="20"/>
        <v>#REF!</v>
      </c>
      <c r="F128" s="254" t="e">
        <f t="shared" si="20"/>
        <v>#REF!</v>
      </c>
      <c r="G128" s="254" t="e">
        <f t="shared" si="20"/>
        <v>#REF!</v>
      </c>
      <c r="H128" s="254" t="e">
        <f t="shared" si="20"/>
        <v>#REF!</v>
      </c>
    </row>
    <row r="129" spans="1:8">
      <c r="A129" s="84" t="e">
        <f t="shared" si="19"/>
        <v>#REF!</v>
      </c>
      <c r="B129" s="254" t="e">
        <f t="shared" si="20"/>
        <v>#REF!</v>
      </c>
      <c r="C129" s="254" t="e">
        <f t="shared" si="20"/>
        <v>#REF!</v>
      </c>
      <c r="D129" s="254" t="e">
        <f t="shared" si="20"/>
        <v>#REF!</v>
      </c>
      <c r="E129" s="254" t="e">
        <f t="shared" si="20"/>
        <v>#REF!</v>
      </c>
      <c r="F129" s="254" t="e">
        <f t="shared" si="20"/>
        <v>#REF!</v>
      </c>
      <c r="G129" s="254" t="e">
        <f t="shared" si="20"/>
        <v>#REF!</v>
      </c>
      <c r="H129" s="254" t="e">
        <f t="shared" si="20"/>
        <v>#REF!</v>
      </c>
    </row>
    <row r="130" spans="1:8">
      <c r="A130" s="84" t="e">
        <f t="shared" si="19"/>
        <v>#REF!</v>
      </c>
      <c r="B130" s="254" t="e">
        <f t="shared" ref="B130:H139" si="21">B78-(B78*$G$6)</f>
        <v>#REF!</v>
      </c>
      <c r="C130" s="254" t="e">
        <f t="shared" si="21"/>
        <v>#REF!</v>
      </c>
      <c r="D130" s="254" t="e">
        <f t="shared" si="21"/>
        <v>#REF!</v>
      </c>
      <c r="E130" s="254" t="e">
        <f t="shared" si="21"/>
        <v>#REF!</v>
      </c>
      <c r="F130" s="254" t="e">
        <f t="shared" si="21"/>
        <v>#REF!</v>
      </c>
      <c r="G130" s="254" t="e">
        <f t="shared" si="21"/>
        <v>#REF!</v>
      </c>
      <c r="H130" s="254" t="e">
        <f t="shared" si="21"/>
        <v>#REF!</v>
      </c>
    </row>
    <row r="131" spans="1:8">
      <c r="A131" s="84" t="e">
        <f t="shared" si="19"/>
        <v>#REF!</v>
      </c>
      <c r="B131" s="254" t="e">
        <f t="shared" si="21"/>
        <v>#REF!</v>
      </c>
      <c r="C131" s="254" t="e">
        <f t="shared" si="21"/>
        <v>#REF!</v>
      </c>
      <c r="D131" s="254" t="e">
        <f t="shared" si="21"/>
        <v>#REF!</v>
      </c>
      <c r="E131" s="254" t="e">
        <f t="shared" si="21"/>
        <v>#REF!</v>
      </c>
      <c r="F131" s="254" t="e">
        <f t="shared" si="21"/>
        <v>#REF!</v>
      </c>
      <c r="G131" s="254" t="e">
        <f t="shared" si="21"/>
        <v>#REF!</v>
      </c>
      <c r="H131" s="254" t="e">
        <f t="shared" si="21"/>
        <v>#REF!</v>
      </c>
    </row>
    <row r="132" spans="1:8">
      <c r="A132" s="84" t="e">
        <f t="shared" si="19"/>
        <v>#REF!</v>
      </c>
      <c r="B132" s="254" t="e">
        <f t="shared" si="21"/>
        <v>#REF!</v>
      </c>
      <c r="C132" s="254" t="e">
        <f t="shared" si="21"/>
        <v>#REF!</v>
      </c>
      <c r="D132" s="254" t="e">
        <f t="shared" si="21"/>
        <v>#REF!</v>
      </c>
      <c r="E132" s="254" t="e">
        <f t="shared" si="21"/>
        <v>#REF!</v>
      </c>
      <c r="F132" s="254" t="e">
        <f t="shared" si="21"/>
        <v>#REF!</v>
      </c>
      <c r="G132" s="254" t="e">
        <f t="shared" si="21"/>
        <v>#REF!</v>
      </c>
      <c r="H132" s="254" t="e">
        <f t="shared" si="21"/>
        <v>#REF!</v>
      </c>
    </row>
    <row r="133" spans="1:8">
      <c r="A133" s="84" t="e">
        <f t="shared" si="19"/>
        <v>#REF!</v>
      </c>
      <c r="B133" s="254" t="e">
        <f t="shared" si="21"/>
        <v>#REF!</v>
      </c>
      <c r="C133" s="254" t="e">
        <f t="shared" si="21"/>
        <v>#REF!</v>
      </c>
      <c r="D133" s="254" t="e">
        <f t="shared" si="21"/>
        <v>#REF!</v>
      </c>
      <c r="E133" s="254" t="e">
        <f t="shared" si="21"/>
        <v>#REF!</v>
      </c>
      <c r="F133" s="254" t="e">
        <f t="shared" si="21"/>
        <v>#REF!</v>
      </c>
      <c r="G133" s="254" t="e">
        <f t="shared" si="21"/>
        <v>#REF!</v>
      </c>
      <c r="H133" s="254" t="e">
        <f t="shared" si="21"/>
        <v>#REF!</v>
      </c>
    </row>
    <row r="134" spans="1:8">
      <c r="A134" s="84" t="e">
        <f t="shared" si="19"/>
        <v>#REF!</v>
      </c>
      <c r="B134" s="254" t="e">
        <f t="shared" si="21"/>
        <v>#REF!</v>
      </c>
      <c r="C134" s="254" t="e">
        <f t="shared" si="21"/>
        <v>#REF!</v>
      </c>
      <c r="D134" s="254" t="e">
        <f t="shared" si="21"/>
        <v>#REF!</v>
      </c>
      <c r="E134" s="254" t="e">
        <f t="shared" si="21"/>
        <v>#REF!</v>
      </c>
      <c r="F134" s="254" t="e">
        <f t="shared" si="21"/>
        <v>#REF!</v>
      </c>
      <c r="G134" s="254" t="e">
        <f t="shared" si="21"/>
        <v>#REF!</v>
      </c>
      <c r="H134" s="254" t="e">
        <f t="shared" si="21"/>
        <v>#REF!</v>
      </c>
    </row>
    <row r="135" spans="1:8">
      <c r="A135" s="84" t="e">
        <f t="shared" si="19"/>
        <v>#REF!</v>
      </c>
      <c r="B135" s="254" t="e">
        <f t="shared" si="21"/>
        <v>#REF!</v>
      </c>
      <c r="C135" s="254" t="e">
        <f t="shared" si="21"/>
        <v>#REF!</v>
      </c>
      <c r="D135" s="254" t="e">
        <f t="shared" si="21"/>
        <v>#REF!</v>
      </c>
      <c r="E135" s="254" t="e">
        <f t="shared" si="21"/>
        <v>#REF!</v>
      </c>
      <c r="F135" s="254" t="e">
        <f t="shared" si="21"/>
        <v>#REF!</v>
      </c>
      <c r="G135" s="254" t="e">
        <f t="shared" si="21"/>
        <v>#REF!</v>
      </c>
      <c r="H135" s="254" t="e">
        <f t="shared" si="21"/>
        <v>#REF!</v>
      </c>
    </row>
    <row r="136" spans="1:8">
      <c r="A136" s="84" t="e">
        <f t="shared" si="19"/>
        <v>#REF!</v>
      </c>
      <c r="B136" s="254" t="e">
        <f t="shared" si="21"/>
        <v>#REF!</v>
      </c>
      <c r="C136" s="254" t="e">
        <f t="shared" si="21"/>
        <v>#REF!</v>
      </c>
      <c r="D136" s="254" t="e">
        <f t="shared" si="21"/>
        <v>#REF!</v>
      </c>
      <c r="E136" s="254" t="e">
        <f t="shared" si="21"/>
        <v>#REF!</v>
      </c>
      <c r="F136" s="254" t="e">
        <f t="shared" si="21"/>
        <v>#REF!</v>
      </c>
      <c r="G136" s="254" t="e">
        <f t="shared" si="21"/>
        <v>#REF!</v>
      </c>
      <c r="H136" s="254" t="e">
        <f t="shared" si="21"/>
        <v>#REF!</v>
      </c>
    </row>
    <row r="137" spans="1:8">
      <c r="A137" s="84" t="e">
        <f t="shared" si="19"/>
        <v>#REF!</v>
      </c>
      <c r="B137" s="254" t="e">
        <f t="shared" si="21"/>
        <v>#REF!</v>
      </c>
      <c r="C137" s="254" t="e">
        <f t="shared" si="21"/>
        <v>#REF!</v>
      </c>
      <c r="D137" s="254" t="e">
        <f t="shared" si="21"/>
        <v>#REF!</v>
      </c>
      <c r="E137" s="254" t="e">
        <f t="shared" si="21"/>
        <v>#REF!</v>
      </c>
      <c r="F137" s="254" t="e">
        <f t="shared" si="21"/>
        <v>#REF!</v>
      </c>
      <c r="G137" s="254" t="e">
        <f t="shared" si="21"/>
        <v>#REF!</v>
      </c>
      <c r="H137" s="254" t="e">
        <f t="shared" si="21"/>
        <v>#REF!</v>
      </c>
    </row>
    <row r="138" spans="1:8">
      <c r="A138" s="84" t="e">
        <f t="shared" si="19"/>
        <v>#REF!</v>
      </c>
      <c r="B138" s="254" t="e">
        <f t="shared" si="21"/>
        <v>#REF!</v>
      </c>
      <c r="C138" s="254" t="e">
        <f t="shared" si="21"/>
        <v>#REF!</v>
      </c>
      <c r="D138" s="254" t="e">
        <f t="shared" si="21"/>
        <v>#REF!</v>
      </c>
      <c r="E138" s="254" t="e">
        <f t="shared" si="21"/>
        <v>#REF!</v>
      </c>
      <c r="F138" s="254" t="e">
        <f t="shared" si="21"/>
        <v>#REF!</v>
      </c>
      <c r="G138" s="254" t="e">
        <f t="shared" si="21"/>
        <v>#REF!</v>
      </c>
      <c r="H138" s="254" t="e">
        <f t="shared" si="21"/>
        <v>#REF!</v>
      </c>
    </row>
    <row r="139" spans="1:8">
      <c r="A139" s="84" t="e">
        <f t="shared" si="19"/>
        <v>#REF!</v>
      </c>
      <c r="B139" s="254" t="e">
        <f t="shared" si="21"/>
        <v>#REF!</v>
      </c>
      <c r="C139" s="254" t="e">
        <f t="shared" si="21"/>
        <v>#REF!</v>
      </c>
      <c r="D139" s="254" t="e">
        <f t="shared" si="21"/>
        <v>#REF!</v>
      </c>
      <c r="E139" s="254" t="e">
        <f t="shared" si="21"/>
        <v>#REF!</v>
      </c>
      <c r="F139" s="254" t="e">
        <f t="shared" si="21"/>
        <v>#REF!</v>
      </c>
      <c r="G139" s="254" t="e">
        <f t="shared" si="21"/>
        <v>#REF!</v>
      </c>
      <c r="H139" s="254" t="e">
        <f t="shared" si="21"/>
        <v>#REF!</v>
      </c>
    </row>
    <row r="140" spans="1:8">
      <c r="A140" s="84" t="e">
        <f t="shared" si="19"/>
        <v>#REF!</v>
      </c>
      <c r="B140" s="254" t="e">
        <f t="shared" ref="B140:H141" si="22">B88-(B88*$G$6)</f>
        <v>#REF!</v>
      </c>
      <c r="C140" s="254" t="e">
        <f t="shared" si="22"/>
        <v>#REF!</v>
      </c>
      <c r="D140" s="254" t="e">
        <f t="shared" si="22"/>
        <v>#REF!</v>
      </c>
      <c r="E140" s="254" t="e">
        <f t="shared" si="22"/>
        <v>#REF!</v>
      </c>
      <c r="F140" s="254" t="e">
        <f t="shared" si="22"/>
        <v>#REF!</v>
      </c>
      <c r="G140" s="254" t="e">
        <f t="shared" si="22"/>
        <v>#REF!</v>
      </c>
      <c r="H140" s="254" t="e">
        <f t="shared" si="22"/>
        <v>#REF!</v>
      </c>
    </row>
    <row r="141" spans="1:8">
      <c r="A141" s="84" t="e">
        <f t="shared" si="19"/>
        <v>#REF!</v>
      </c>
      <c r="B141" s="254" t="e">
        <f t="shared" si="22"/>
        <v>#REF!</v>
      </c>
      <c r="C141" s="254" t="e">
        <f t="shared" si="22"/>
        <v>#REF!</v>
      </c>
      <c r="D141" s="254" t="e">
        <f t="shared" si="22"/>
        <v>#REF!</v>
      </c>
      <c r="E141" s="254" t="e">
        <f t="shared" si="22"/>
        <v>#REF!</v>
      </c>
      <c r="F141" s="254" t="e">
        <f t="shared" si="22"/>
        <v>#REF!</v>
      </c>
      <c r="G141" s="254" t="e">
        <f t="shared" si="22"/>
        <v>#REF!</v>
      </c>
      <c r="H141" s="254" t="e">
        <f t="shared" si="22"/>
        <v>#REF!</v>
      </c>
    </row>
    <row r="142" spans="1:8">
      <c r="A142" s="84"/>
      <c r="B142" s="254"/>
      <c r="C142" s="254"/>
      <c r="D142" s="254"/>
      <c r="E142" s="254"/>
      <c r="F142" s="254"/>
      <c r="G142" s="254"/>
      <c r="H142" s="254"/>
    </row>
    <row r="143" spans="1:8">
      <c r="A143" s="86" t="str">
        <f t="shared" ref="A143:A161" si="23">A91</f>
        <v>Fruit  &amp; Vegetables Crop Production Details</v>
      </c>
      <c r="B143" s="254"/>
      <c r="C143" s="254"/>
      <c r="D143" s="254"/>
      <c r="E143" s="254"/>
      <c r="F143" s="254"/>
      <c r="G143" s="254"/>
      <c r="H143" s="254"/>
    </row>
    <row r="144" spans="1:8">
      <c r="A144" s="84" t="str">
        <f t="shared" si="23"/>
        <v>Okra</v>
      </c>
      <c r="B144" s="254">
        <f t="shared" ref="B144:H153" si="24">B92-(B92*$G$7)</f>
        <v>0</v>
      </c>
      <c r="C144" s="254">
        <f t="shared" si="24"/>
        <v>0</v>
      </c>
      <c r="D144" s="254">
        <f t="shared" si="24"/>
        <v>0</v>
      </c>
      <c r="E144" s="254">
        <f t="shared" si="24"/>
        <v>0</v>
      </c>
      <c r="F144" s="254">
        <f t="shared" si="24"/>
        <v>0</v>
      </c>
      <c r="G144" s="254">
        <f t="shared" si="24"/>
        <v>0</v>
      </c>
      <c r="H144" s="254">
        <f t="shared" si="24"/>
        <v>0</v>
      </c>
    </row>
    <row r="145" spans="1:8">
      <c r="A145" s="84" t="e">
        <f t="shared" si="23"/>
        <v>#REF!</v>
      </c>
      <c r="B145" s="254" t="e">
        <f t="shared" si="24"/>
        <v>#REF!</v>
      </c>
      <c r="C145" s="254" t="e">
        <f t="shared" si="24"/>
        <v>#REF!</v>
      </c>
      <c r="D145" s="254" t="e">
        <f t="shared" si="24"/>
        <v>#REF!</v>
      </c>
      <c r="E145" s="254" t="e">
        <f t="shared" si="24"/>
        <v>#REF!</v>
      </c>
      <c r="F145" s="254" t="e">
        <f t="shared" si="24"/>
        <v>#REF!</v>
      </c>
      <c r="G145" s="254" t="e">
        <f t="shared" si="24"/>
        <v>#REF!</v>
      </c>
      <c r="H145" s="254" t="e">
        <f t="shared" si="24"/>
        <v>#REF!</v>
      </c>
    </row>
    <row r="146" spans="1:8">
      <c r="A146" s="84" t="e">
        <f t="shared" si="23"/>
        <v>#REF!</v>
      </c>
      <c r="B146" s="254" t="e">
        <f t="shared" si="24"/>
        <v>#REF!</v>
      </c>
      <c r="C146" s="254" t="e">
        <f t="shared" si="24"/>
        <v>#REF!</v>
      </c>
      <c r="D146" s="254" t="e">
        <f t="shared" si="24"/>
        <v>#REF!</v>
      </c>
      <c r="E146" s="254" t="e">
        <f t="shared" si="24"/>
        <v>#REF!</v>
      </c>
      <c r="F146" s="254" t="e">
        <f t="shared" si="24"/>
        <v>#REF!</v>
      </c>
      <c r="G146" s="254" t="e">
        <f t="shared" si="24"/>
        <v>#REF!</v>
      </c>
      <c r="H146" s="254" t="e">
        <f t="shared" si="24"/>
        <v>#REF!</v>
      </c>
    </row>
    <row r="147" spans="1:8">
      <c r="A147" s="84" t="str">
        <f t="shared" si="23"/>
        <v>Chilli</v>
      </c>
      <c r="B147" s="254">
        <f t="shared" si="24"/>
        <v>0</v>
      </c>
      <c r="C147" s="254">
        <f t="shared" si="24"/>
        <v>0</v>
      </c>
      <c r="D147" s="254">
        <f t="shared" si="24"/>
        <v>0</v>
      </c>
      <c r="E147" s="254">
        <f t="shared" si="24"/>
        <v>0</v>
      </c>
      <c r="F147" s="254">
        <f t="shared" si="24"/>
        <v>0</v>
      </c>
      <c r="G147" s="254">
        <f t="shared" si="24"/>
        <v>0</v>
      </c>
      <c r="H147" s="254">
        <f t="shared" si="24"/>
        <v>0</v>
      </c>
    </row>
    <row r="148" spans="1:8">
      <c r="A148" s="84" t="e">
        <f t="shared" si="23"/>
        <v>#REF!</v>
      </c>
      <c r="B148" s="254" t="e">
        <f t="shared" si="24"/>
        <v>#REF!</v>
      </c>
      <c r="C148" s="254" t="e">
        <f t="shared" si="24"/>
        <v>#REF!</v>
      </c>
      <c r="D148" s="254" t="e">
        <f t="shared" si="24"/>
        <v>#REF!</v>
      </c>
      <c r="E148" s="254" t="e">
        <f t="shared" si="24"/>
        <v>#REF!</v>
      </c>
      <c r="F148" s="254" t="e">
        <f t="shared" si="24"/>
        <v>#REF!</v>
      </c>
      <c r="G148" s="254" t="e">
        <f t="shared" si="24"/>
        <v>#REF!</v>
      </c>
      <c r="H148" s="254" t="e">
        <f t="shared" si="24"/>
        <v>#REF!</v>
      </c>
    </row>
    <row r="149" spans="1:8">
      <c r="A149" s="84" t="e">
        <f t="shared" si="23"/>
        <v>#REF!</v>
      </c>
      <c r="B149" s="254" t="e">
        <f t="shared" si="24"/>
        <v>#REF!</v>
      </c>
      <c r="C149" s="254" t="e">
        <f t="shared" si="24"/>
        <v>#REF!</v>
      </c>
      <c r="D149" s="254" t="e">
        <f t="shared" si="24"/>
        <v>#REF!</v>
      </c>
      <c r="E149" s="254" t="e">
        <f t="shared" si="24"/>
        <v>#REF!</v>
      </c>
      <c r="F149" s="254" t="e">
        <f t="shared" si="24"/>
        <v>#REF!</v>
      </c>
      <c r="G149" s="254" t="e">
        <f t="shared" si="24"/>
        <v>#REF!</v>
      </c>
      <c r="H149" s="254" t="e">
        <f t="shared" si="24"/>
        <v>#REF!</v>
      </c>
    </row>
    <row r="150" spans="1:8">
      <c r="A150" s="84" t="e">
        <f t="shared" si="23"/>
        <v>#REF!</v>
      </c>
      <c r="B150" s="254" t="e">
        <f t="shared" si="24"/>
        <v>#REF!</v>
      </c>
      <c r="C150" s="254" t="e">
        <f t="shared" si="24"/>
        <v>#REF!</v>
      </c>
      <c r="D150" s="254" t="e">
        <f t="shared" si="24"/>
        <v>#REF!</v>
      </c>
      <c r="E150" s="254" t="e">
        <f t="shared" si="24"/>
        <v>#REF!</v>
      </c>
      <c r="F150" s="254" t="e">
        <f t="shared" si="24"/>
        <v>#REF!</v>
      </c>
      <c r="G150" s="254" t="e">
        <f t="shared" si="24"/>
        <v>#REF!</v>
      </c>
      <c r="H150" s="254" t="e">
        <f t="shared" si="24"/>
        <v>#REF!</v>
      </c>
    </row>
    <row r="151" spans="1:8">
      <c r="A151" s="84" t="e">
        <f t="shared" si="23"/>
        <v>#REF!</v>
      </c>
      <c r="B151" s="254" t="e">
        <f t="shared" si="24"/>
        <v>#REF!</v>
      </c>
      <c r="C151" s="254" t="e">
        <f t="shared" si="24"/>
        <v>#REF!</v>
      </c>
      <c r="D151" s="254" t="e">
        <f t="shared" si="24"/>
        <v>#REF!</v>
      </c>
      <c r="E151" s="254" t="e">
        <f t="shared" si="24"/>
        <v>#REF!</v>
      </c>
      <c r="F151" s="254" t="e">
        <f t="shared" si="24"/>
        <v>#REF!</v>
      </c>
      <c r="G151" s="254" t="e">
        <f t="shared" si="24"/>
        <v>#REF!</v>
      </c>
      <c r="H151" s="254" t="e">
        <f t="shared" si="24"/>
        <v>#REF!</v>
      </c>
    </row>
    <row r="152" spans="1:8">
      <c r="A152" s="84" t="e">
        <f t="shared" si="23"/>
        <v>#REF!</v>
      </c>
      <c r="B152" s="254" t="e">
        <f t="shared" si="24"/>
        <v>#REF!</v>
      </c>
      <c r="C152" s="254" t="e">
        <f t="shared" si="24"/>
        <v>#REF!</v>
      </c>
      <c r="D152" s="254" t="e">
        <f t="shared" si="24"/>
        <v>#REF!</v>
      </c>
      <c r="E152" s="254" t="e">
        <f t="shared" si="24"/>
        <v>#REF!</v>
      </c>
      <c r="F152" s="254" t="e">
        <f t="shared" si="24"/>
        <v>#REF!</v>
      </c>
      <c r="G152" s="254" t="e">
        <f t="shared" si="24"/>
        <v>#REF!</v>
      </c>
      <c r="H152" s="254" t="e">
        <f t="shared" si="24"/>
        <v>#REF!</v>
      </c>
    </row>
    <row r="153" spans="1:8">
      <c r="A153" s="84" t="e">
        <f t="shared" si="23"/>
        <v>#REF!</v>
      </c>
      <c r="B153" s="254" t="e">
        <f t="shared" si="24"/>
        <v>#REF!</v>
      </c>
      <c r="C153" s="254" t="e">
        <f t="shared" si="24"/>
        <v>#REF!</v>
      </c>
      <c r="D153" s="254" t="e">
        <f t="shared" si="24"/>
        <v>#REF!</v>
      </c>
      <c r="E153" s="254" t="e">
        <f t="shared" si="24"/>
        <v>#REF!</v>
      </c>
      <c r="F153" s="254" t="e">
        <f t="shared" si="24"/>
        <v>#REF!</v>
      </c>
      <c r="G153" s="254" t="e">
        <f t="shared" si="24"/>
        <v>#REF!</v>
      </c>
      <c r="H153" s="254" t="e">
        <f t="shared" si="24"/>
        <v>#REF!</v>
      </c>
    </row>
    <row r="154" spans="1:8">
      <c r="A154" s="84" t="e">
        <f t="shared" si="23"/>
        <v>#REF!</v>
      </c>
      <c r="B154" s="254" t="e">
        <f t="shared" ref="B154:H161" si="25">B102-(B102*$G$7)</f>
        <v>#REF!</v>
      </c>
      <c r="C154" s="254" t="e">
        <f t="shared" si="25"/>
        <v>#REF!</v>
      </c>
      <c r="D154" s="254" t="e">
        <f t="shared" si="25"/>
        <v>#REF!</v>
      </c>
      <c r="E154" s="254" t="e">
        <f t="shared" si="25"/>
        <v>#REF!</v>
      </c>
      <c r="F154" s="254" t="e">
        <f t="shared" si="25"/>
        <v>#REF!</v>
      </c>
      <c r="G154" s="254" t="e">
        <f t="shared" si="25"/>
        <v>#REF!</v>
      </c>
      <c r="H154" s="254" t="e">
        <f t="shared" si="25"/>
        <v>#REF!</v>
      </c>
    </row>
    <row r="155" spans="1:8">
      <c r="A155" s="84" t="e">
        <f t="shared" si="23"/>
        <v>#REF!</v>
      </c>
      <c r="B155" s="254" t="e">
        <f t="shared" si="25"/>
        <v>#REF!</v>
      </c>
      <c r="C155" s="254" t="e">
        <f t="shared" si="25"/>
        <v>#REF!</v>
      </c>
      <c r="D155" s="254" t="e">
        <f t="shared" si="25"/>
        <v>#REF!</v>
      </c>
      <c r="E155" s="254" t="e">
        <f t="shared" si="25"/>
        <v>#REF!</v>
      </c>
      <c r="F155" s="254" t="e">
        <f t="shared" si="25"/>
        <v>#REF!</v>
      </c>
      <c r="G155" s="254" t="e">
        <f t="shared" si="25"/>
        <v>#REF!</v>
      </c>
      <c r="H155" s="254" t="e">
        <f t="shared" si="25"/>
        <v>#REF!</v>
      </c>
    </row>
    <row r="156" spans="1:8">
      <c r="A156" s="84" t="e">
        <f t="shared" si="23"/>
        <v>#REF!</v>
      </c>
      <c r="B156" s="254" t="e">
        <f t="shared" si="25"/>
        <v>#REF!</v>
      </c>
      <c r="C156" s="254" t="e">
        <f t="shared" si="25"/>
        <v>#REF!</v>
      </c>
      <c r="D156" s="254" t="e">
        <f t="shared" si="25"/>
        <v>#REF!</v>
      </c>
      <c r="E156" s="254" t="e">
        <f t="shared" si="25"/>
        <v>#REF!</v>
      </c>
      <c r="F156" s="254" t="e">
        <f t="shared" si="25"/>
        <v>#REF!</v>
      </c>
      <c r="G156" s="254" t="e">
        <f t="shared" si="25"/>
        <v>#REF!</v>
      </c>
      <c r="H156" s="254" t="e">
        <f t="shared" si="25"/>
        <v>#REF!</v>
      </c>
    </row>
    <row r="157" spans="1:8">
      <c r="A157" s="84" t="e">
        <f t="shared" si="23"/>
        <v>#REF!</v>
      </c>
      <c r="B157" s="254" t="e">
        <f t="shared" si="25"/>
        <v>#REF!</v>
      </c>
      <c r="C157" s="254" t="e">
        <f t="shared" si="25"/>
        <v>#REF!</v>
      </c>
      <c r="D157" s="254" t="e">
        <f t="shared" si="25"/>
        <v>#REF!</v>
      </c>
      <c r="E157" s="254" t="e">
        <f t="shared" si="25"/>
        <v>#REF!</v>
      </c>
      <c r="F157" s="254" t="e">
        <f t="shared" si="25"/>
        <v>#REF!</v>
      </c>
      <c r="G157" s="254" t="e">
        <f t="shared" si="25"/>
        <v>#REF!</v>
      </c>
      <c r="H157" s="254" t="e">
        <f t="shared" si="25"/>
        <v>#REF!</v>
      </c>
    </row>
    <row r="158" spans="1:8">
      <c r="A158" s="84" t="e">
        <f t="shared" si="23"/>
        <v>#REF!</v>
      </c>
      <c r="B158" s="254" t="e">
        <f t="shared" si="25"/>
        <v>#REF!</v>
      </c>
      <c r="C158" s="254" t="e">
        <f t="shared" si="25"/>
        <v>#REF!</v>
      </c>
      <c r="D158" s="254" t="e">
        <f t="shared" si="25"/>
        <v>#REF!</v>
      </c>
      <c r="E158" s="254" t="e">
        <f t="shared" si="25"/>
        <v>#REF!</v>
      </c>
      <c r="F158" s="254" t="e">
        <f t="shared" si="25"/>
        <v>#REF!</v>
      </c>
      <c r="G158" s="254" t="e">
        <f t="shared" si="25"/>
        <v>#REF!</v>
      </c>
      <c r="H158" s="254" t="e">
        <f t="shared" si="25"/>
        <v>#REF!</v>
      </c>
    </row>
    <row r="159" spans="1:8">
      <c r="A159" s="84" t="e">
        <f t="shared" si="23"/>
        <v>#REF!</v>
      </c>
      <c r="B159" s="254" t="e">
        <f t="shared" si="25"/>
        <v>#REF!</v>
      </c>
      <c r="C159" s="254" t="e">
        <f t="shared" si="25"/>
        <v>#REF!</v>
      </c>
      <c r="D159" s="254" t="e">
        <f t="shared" si="25"/>
        <v>#REF!</v>
      </c>
      <c r="E159" s="254" t="e">
        <f t="shared" si="25"/>
        <v>#REF!</v>
      </c>
      <c r="F159" s="254" t="e">
        <f t="shared" si="25"/>
        <v>#REF!</v>
      </c>
      <c r="G159" s="254" t="e">
        <f t="shared" si="25"/>
        <v>#REF!</v>
      </c>
      <c r="H159" s="254" t="e">
        <f t="shared" si="25"/>
        <v>#REF!</v>
      </c>
    </row>
    <row r="160" spans="1:8">
      <c r="A160" s="84" t="e">
        <f t="shared" si="23"/>
        <v>#REF!</v>
      </c>
      <c r="B160" s="254" t="e">
        <f t="shared" si="25"/>
        <v>#REF!</v>
      </c>
      <c r="C160" s="254" t="e">
        <f t="shared" si="25"/>
        <v>#REF!</v>
      </c>
      <c r="D160" s="254" t="e">
        <f t="shared" si="25"/>
        <v>#REF!</v>
      </c>
      <c r="E160" s="254" t="e">
        <f t="shared" si="25"/>
        <v>#REF!</v>
      </c>
      <c r="F160" s="254" t="e">
        <f t="shared" si="25"/>
        <v>#REF!</v>
      </c>
      <c r="G160" s="254" t="e">
        <f t="shared" si="25"/>
        <v>#REF!</v>
      </c>
      <c r="H160" s="254" t="e">
        <f t="shared" si="25"/>
        <v>#REF!</v>
      </c>
    </row>
    <row r="161" spans="1:20">
      <c r="A161" s="84" t="e">
        <f t="shared" si="23"/>
        <v>#REF!</v>
      </c>
      <c r="B161" s="254" t="e">
        <f t="shared" si="25"/>
        <v>#REF!</v>
      </c>
      <c r="C161" s="254" t="e">
        <f t="shared" si="25"/>
        <v>#REF!</v>
      </c>
      <c r="D161" s="254" t="e">
        <f t="shared" si="25"/>
        <v>#REF!</v>
      </c>
      <c r="E161" s="254" t="e">
        <f t="shared" si="25"/>
        <v>#REF!</v>
      </c>
      <c r="F161" s="254" t="e">
        <f t="shared" si="25"/>
        <v>#REF!</v>
      </c>
      <c r="G161" s="254" t="e">
        <f t="shared" si="25"/>
        <v>#REF!</v>
      </c>
      <c r="H161" s="254" t="e">
        <f t="shared" si="25"/>
        <v>#REF!</v>
      </c>
    </row>
    <row r="162" spans="1:20">
      <c r="A162" s="84" t="e">
        <f t="shared" ref="A162:A165" si="26">A110</f>
        <v>#REF!</v>
      </c>
      <c r="B162" s="254">
        <f t="shared" ref="B162:H162" si="27">B110-(B110*$G$7)</f>
        <v>0</v>
      </c>
      <c r="C162" s="254">
        <f t="shared" si="27"/>
        <v>0</v>
      </c>
      <c r="D162" s="254">
        <f t="shared" si="27"/>
        <v>0</v>
      </c>
      <c r="E162" s="254">
        <f t="shared" si="27"/>
        <v>0</v>
      </c>
      <c r="F162" s="254">
        <f t="shared" si="27"/>
        <v>0</v>
      </c>
      <c r="G162" s="254">
        <f t="shared" si="27"/>
        <v>0</v>
      </c>
      <c r="H162" s="254">
        <f t="shared" si="27"/>
        <v>0</v>
      </c>
    </row>
    <row r="163" spans="1:20">
      <c r="A163" s="84" t="e">
        <f t="shared" si="26"/>
        <v>#REF!</v>
      </c>
      <c r="B163" s="254">
        <f t="shared" ref="B163:H163" si="28">B111-(B111*$G$7)</f>
        <v>0</v>
      </c>
      <c r="C163" s="254">
        <f t="shared" si="28"/>
        <v>0</v>
      </c>
      <c r="D163" s="254">
        <f t="shared" si="28"/>
        <v>0</v>
      </c>
      <c r="E163" s="254">
        <f t="shared" si="28"/>
        <v>0</v>
      </c>
      <c r="F163" s="254">
        <f t="shared" si="28"/>
        <v>0</v>
      </c>
      <c r="G163" s="254">
        <f t="shared" si="28"/>
        <v>0</v>
      </c>
      <c r="H163" s="254">
        <f t="shared" si="28"/>
        <v>0</v>
      </c>
    </row>
    <row r="164" spans="1:20">
      <c r="A164" s="84" t="e">
        <f t="shared" si="26"/>
        <v>#REF!</v>
      </c>
      <c r="B164" s="254">
        <f t="shared" ref="B164:H165" si="29">B112-(B112*$G$7)</f>
        <v>0</v>
      </c>
      <c r="C164" s="254">
        <f t="shared" si="29"/>
        <v>0</v>
      </c>
      <c r="D164" s="254">
        <f t="shared" si="29"/>
        <v>0</v>
      </c>
      <c r="E164" s="254">
        <f t="shared" si="29"/>
        <v>0</v>
      </c>
      <c r="F164" s="254">
        <f t="shared" si="29"/>
        <v>0</v>
      </c>
      <c r="G164" s="254">
        <f t="shared" si="29"/>
        <v>0</v>
      </c>
      <c r="H164" s="254">
        <f t="shared" si="29"/>
        <v>0</v>
      </c>
    </row>
    <row r="165" spans="1:20">
      <c r="A165" s="84" t="e">
        <f t="shared" si="26"/>
        <v>#REF!</v>
      </c>
      <c r="B165" s="254" t="e">
        <f t="shared" si="29"/>
        <v>#REF!</v>
      </c>
      <c r="C165" s="254" t="e">
        <f t="shared" ref="C165:H168" si="30">C113-(C113*$G$7)</f>
        <v>#REF!</v>
      </c>
      <c r="D165" s="254" t="e">
        <f t="shared" si="30"/>
        <v>#REF!</v>
      </c>
      <c r="E165" s="254" t="e">
        <f t="shared" si="30"/>
        <v>#REF!</v>
      </c>
      <c r="F165" s="254" t="e">
        <f t="shared" si="30"/>
        <v>#REF!</v>
      </c>
      <c r="G165" s="254" t="e">
        <f t="shared" si="30"/>
        <v>#REF!</v>
      </c>
      <c r="H165" s="254" t="e">
        <f t="shared" si="30"/>
        <v>#REF!</v>
      </c>
    </row>
    <row r="166" spans="1:20">
      <c r="A166" s="84" t="e">
        <f>A114</f>
        <v>#REF!</v>
      </c>
      <c r="B166" s="254" t="e">
        <f>B114-(B114*$G$7)</f>
        <v>#REF!</v>
      </c>
      <c r="C166" s="254" t="e">
        <f t="shared" si="30"/>
        <v>#REF!</v>
      </c>
      <c r="D166" s="254" t="e">
        <f t="shared" si="30"/>
        <v>#REF!</v>
      </c>
      <c r="E166" s="254" t="e">
        <f t="shared" si="30"/>
        <v>#REF!</v>
      </c>
      <c r="F166" s="254" t="e">
        <f t="shared" si="30"/>
        <v>#REF!</v>
      </c>
      <c r="G166" s="254" t="e">
        <f t="shared" si="30"/>
        <v>#REF!</v>
      </c>
      <c r="H166" s="254" t="e">
        <f t="shared" si="30"/>
        <v>#REF!</v>
      </c>
    </row>
    <row r="167" spans="1:20">
      <c r="A167" s="84" t="e">
        <f>A115</f>
        <v>#REF!</v>
      </c>
      <c r="B167" s="254" t="e">
        <f>B115-(B115*$G$7)</f>
        <v>#REF!</v>
      </c>
      <c r="C167" s="254" t="e">
        <f t="shared" si="30"/>
        <v>#REF!</v>
      </c>
      <c r="D167" s="254" t="e">
        <f t="shared" si="30"/>
        <v>#REF!</v>
      </c>
      <c r="E167" s="254" t="e">
        <f t="shared" si="30"/>
        <v>#REF!</v>
      </c>
      <c r="F167" s="254" t="e">
        <f t="shared" si="30"/>
        <v>#REF!</v>
      </c>
      <c r="G167" s="254" t="e">
        <f t="shared" si="30"/>
        <v>#REF!</v>
      </c>
      <c r="H167" s="254" t="e">
        <f t="shared" si="30"/>
        <v>#REF!</v>
      </c>
    </row>
    <row r="168" spans="1:20">
      <c r="A168" s="84" t="e">
        <f>A116</f>
        <v>#REF!</v>
      </c>
      <c r="B168" s="254" t="e">
        <f>B116-(B116*$G$7)</f>
        <v>#REF!</v>
      </c>
      <c r="C168" s="254" t="e">
        <f t="shared" si="30"/>
        <v>#REF!</v>
      </c>
      <c r="D168" s="254" t="e">
        <f t="shared" si="30"/>
        <v>#REF!</v>
      </c>
      <c r="E168" s="254" t="e">
        <f t="shared" si="30"/>
        <v>#REF!</v>
      </c>
      <c r="F168" s="254" t="e">
        <f t="shared" si="30"/>
        <v>#REF!</v>
      </c>
      <c r="G168" s="254" t="e">
        <f t="shared" si="30"/>
        <v>#REF!</v>
      </c>
      <c r="H168" s="254" t="e">
        <f t="shared" si="30"/>
        <v>#REF!</v>
      </c>
    </row>
    <row r="169" spans="1:20">
      <c r="A169" s="149"/>
    </row>
    <row r="170" spans="1:20" ht="18.75">
      <c r="A170" s="676" t="s">
        <v>523</v>
      </c>
      <c r="B170" s="676"/>
      <c r="C170" s="676"/>
      <c r="D170" s="676"/>
      <c r="E170" s="676"/>
      <c r="F170" s="676"/>
      <c r="G170" s="676"/>
      <c r="H170" s="676"/>
      <c r="I170" s="676"/>
      <c r="J170" s="676"/>
    </row>
    <row r="171" spans="1:20">
      <c r="A171" s="16"/>
      <c r="B171" s="16"/>
      <c r="C171" s="16"/>
      <c r="D171" s="16"/>
      <c r="E171" s="16"/>
      <c r="F171" s="16"/>
      <c r="G171" s="16"/>
      <c r="H171" s="16"/>
    </row>
    <row r="172" spans="1:20">
      <c r="A172" s="159"/>
      <c r="B172" s="159"/>
      <c r="C172" s="159"/>
      <c r="D172" s="160">
        <v>1</v>
      </c>
      <c r="E172" s="161">
        <f>(D172*5%)+D172</f>
        <v>1.05</v>
      </c>
      <c r="F172" s="161">
        <f t="shared" ref="F172:J172" si="31">(E172*5%)+E172</f>
        <v>1.1025</v>
      </c>
      <c r="G172" s="161">
        <f t="shared" si="31"/>
        <v>1.1576250000000001</v>
      </c>
      <c r="H172" s="161">
        <f t="shared" si="31"/>
        <v>1.2155062500000002</v>
      </c>
      <c r="I172" s="161">
        <f t="shared" si="31"/>
        <v>1.2762815625000004</v>
      </c>
      <c r="J172" s="161">
        <f t="shared" si="31"/>
        <v>1.3400956406250004</v>
      </c>
      <c r="K172" s="79"/>
      <c r="L172" s="79"/>
      <c r="M172" s="79"/>
      <c r="N172" s="79"/>
      <c r="O172" s="79"/>
      <c r="P172" s="79"/>
      <c r="Q172" s="79"/>
      <c r="R172" s="79"/>
      <c r="S172" s="79"/>
      <c r="T172" s="79"/>
    </row>
    <row r="173" spans="1:20">
      <c r="A173" s="79"/>
      <c r="B173" s="79"/>
      <c r="C173" s="79"/>
      <c r="D173" s="79"/>
      <c r="E173" s="79"/>
      <c r="F173" s="79"/>
      <c r="G173" s="79"/>
      <c r="H173" s="79"/>
      <c r="I173" s="79"/>
      <c r="J173" s="79"/>
      <c r="K173" s="79"/>
      <c r="L173" s="79"/>
      <c r="M173" s="79"/>
      <c r="N173" s="79"/>
      <c r="O173" s="79"/>
      <c r="P173" s="79"/>
      <c r="Q173" s="79"/>
      <c r="R173" s="79"/>
      <c r="S173" s="79"/>
      <c r="T173" s="79"/>
    </row>
    <row r="174" spans="1:20">
      <c r="A174" s="79"/>
      <c r="B174" s="79"/>
      <c r="C174" s="79"/>
      <c r="D174" s="143"/>
      <c r="E174" s="143"/>
      <c r="F174" s="143"/>
      <c r="G174" s="143"/>
      <c r="H174" s="143"/>
      <c r="I174" s="143"/>
      <c r="J174" s="143"/>
      <c r="K174" s="79"/>
      <c r="L174" s="79"/>
    </row>
    <row r="175" spans="1:20">
      <c r="A175" s="69" t="s">
        <v>0</v>
      </c>
      <c r="B175" s="69"/>
      <c r="C175" s="69" t="s">
        <v>148</v>
      </c>
      <c r="D175" s="70" t="s">
        <v>2</v>
      </c>
      <c r="E175" s="70" t="s">
        <v>3</v>
      </c>
      <c r="F175" s="70" t="s">
        <v>4</v>
      </c>
      <c r="G175" s="70" t="s">
        <v>5</v>
      </c>
      <c r="H175" s="70" t="s">
        <v>6</v>
      </c>
      <c r="I175" s="70" t="s">
        <v>163</v>
      </c>
      <c r="J175" s="70" t="s">
        <v>162</v>
      </c>
      <c r="K175" s="79"/>
      <c r="L175" s="79"/>
    </row>
    <row r="176" spans="1:20">
      <c r="A176" s="82"/>
      <c r="B176" s="82"/>
      <c r="C176" s="82"/>
      <c r="D176" s="80"/>
      <c r="E176" s="80"/>
      <c r="F176" s="80"/>
      <c r="G176" s="80"/>
      <c r="H176" s="80"/>
      <c r="I176" s="80"/>
      <c r="J176" s="80"/>
      <c r="K176" s="79"/>
      <c r="L176" s="79"/>
    </row>
    <row r="177" spans="1:12">
      <c r="A177" s="82" t="s">
        <v>124</v>
      </c>
      <c r="B177" s="82"/>
      <c r="C177" s="82"/>
      <c r="D177" s="80"/>
      <c r="E177" s="80"/>
      <c r="F177" s="80"/>
      <c r="G177" s="80"/>
      <c r="H177" s="80"/>
      <c r="I177" s="80"/>
      <c r="J177" s="80"/>
      <c r="K177" s="79"/>
      <c r="L177" s="79"/>
    </row>
    <row r="178" spans="1:12">
      <c r="A178" s="80" t="e">
        <f t="shared" ref="A178:A198" si="32">A120</f>
        <v>#REF!</v>
      </c>
      <c r="B178" s="80" t="s">
        <v>349</v>
      </c>
      <c r="C178" s="219">
        <v>4000</v>
      </c>
      <c r="D178" s="162" t="e">
        <f>(B120*(1-'5.Closing Stock &amp; W Capital'!$D$16))*C$178*D172</f>
        <v>#REF!</v>
      </c>
      <c r="E178" s="162" t="e">
        <f>((C120*(1-'5.Closing Stock &amp; W Capital'!$D$16))+(B120*'5.Closing Stock &amp; W Capital'!$D$16))*$C178*E$172</f>
        <v>#REF!</v>
      </c>
      <c r="F178" s="162" t="e">
        <f>((D120*(1-'5.Closing Stock &amp; W Capital'!$D$16))+(C120*'5.Closing Stock &amp; W Capital'!$D$16))*$C178*F$172</f>
        <v>#REF!</v>
      </c>
      <c r="G178" s="162" t="e">
        <f>((E120*(1-'5.Closing Stock &amp; W Capital'!$D$16))+(D120*'5.Closing Stock &amp; W Capital'!$D$16))*$C178*G$172</f>
        <v>#REF!</v>
      </c>
      <c r="H178" s="162" t="e">
        <f>((F120*(1-'5.Closing Stock &amp; W Capital'!$D$16))+(E120*'5.Closing Stock &amp; W Capital'!$D$16))*$C178*H$172</f>
        <v>#REF!</v>
      </c>
      <c r="I178" s="162" t="e">
        <f>((G120*(1-'5.Closing Stock &amp; W Capital'!$D$16))+(F120*'5.Closing Stock &amp; W Capital'!$D$16))*$C178*I$172</f>
        <v>#REF!</v>
      </c>
      <c r="J178" s="162" t="e">
        <f>((H120*(1-'5.Closing Stock &amp; W Capital'!$D$16))+(G120*'5.Closing Stock &amp; W Capital'!$D$16))*$C178*J$172</f>
        <v>#REF!</v>
      </c>
      <c r="K178" s="79"/>
      <c r="L178" s="79"/>
    </row>
    <row r="179" spans="1:12">
      <c r="A179" s="80" t="e">
        <f t="shared" si="32"/>
        <v>#REF!</v>
      </c>
      <c r="B179" s="80" t="s">
        <v>349</v>
      </c>
      <c r="C179" s="219">
        <v>6000</v>
      </c>
      <c r="D179" s="162" t="e">
        <f>(B121*(1-'5.Closing Stock &amp; W Capital'!$D$16))*$C179*D$172</f>
        <v>#REF!</v>
      </c>
      <c r="E179" s="162" t="e">
        <f>((C121*(1-'5.Closing Stock &amp; W Capital'!$D$16))+(B121*'5.Closing Stock &amp; W Capital'!$D$16))*$C179*E$172</f>
        <v>#REF!</v>
      </c>
      <c r="F179" s="162" t="e">
        <f>((D121*(1-'5.Closing Stock &amp; W Capital'!$D$16))+(C121*'5.Closing Stock &amp; W Capital'!$D$16))*$C179*F$172</f>
        <v>#REF!</v>
      </c>
      <c r="G179" s="162" t="e">
        <f>((E121*(1-'5.Closing Stock &amp; W Capital'!$D$16))+(D121*'5.Closing Stock &amp; W Capital'!$D$16))*$C179*G$172</f>
        <v>#REF!</v>
      </c>
      <c r="H179" s="162" t="e">
        <f>((F121*(1-'5.Closing Stock &amp; W Capital'!$D$16))+(E121*'5.Closing Stock &amp; W Capital'!$D$16))*$C179*H$172</f>
        <v>#REF!</v>
      </c>
      <c r="I179" s="162" t="e">
        <f>((G121*(1-'5.Closing Stock &amp; W Capital'!$D$16))+(F121*'5.Closing Stock &amp; W Capital'!$D$16))*$C179*I$172</f>
        <v>#REF!</v>
      </c>
      <c r="J179" s="162" t="e">
        <f>((H121*(1-'5.Closing Stock &amp; W Capital'!$D$16))+(G121*'5.Closing Stock &amp; W Capital'!$D$16))*$C179*J$172</f>
        <v>#REF!</v>
      </c>
      <c r="K179" s="79"/>
      <c r="L179" s="79"/>
    </row>
    <row r="180" spans="1:12">
      <c r="A180" s="80" t="e">
        <f t="shared" si="32"/>
        <v>#REF!</v>
      </c>
      <c r="B180" s="80" t="s">
        <v>349</v>
      </c>
      <c r="C180" s="219"/>
      <c r="D180" s="162" t="e">
        <f>(B122*(1-'5.Closing Stock &amp; W Capital'!$D$16))*$C180*D$172</f>
        <v>#REF!</v>
      </c>
      <c r="E180" s="162" t="e">
        <f>((C122*(1-'5.Closing Stock &amp; W Capital'!$D$16))+(B122*'5.Closing Stock &amp; W Capital'!$D$16))*$C180*E$172</f>
        <v>#REF!</v>
      </c>
      <c r="F180" s="162" t="e">
        <f>((D122*(1-'5.Closing Stock &amp; W Capital'!$D$16))+(C122*'5.Closing Stock &amp; W Capital'!$D$16))*$C180*F$172</f>
        <v>#REF!</v>
      </c>
      <c r="G180" s="162" t="e">
        <f>((E122*(1-'5.Closing Stock &amp; W Capital'!$D$16))+(D122*'5.Closing Stock &amp; W Capital'!$D$16))*$C180*G$172</f>
        <v>#REF!</v>
      </c>
      <c r="H180" s="162" t="e">
        <f>((F122*(1-'5.Closing Stock &amp; W Capital'!$D$16))+(E122*'5.Closing Stock &amp; W Capital'!$D$16))*$C180*H$172</f>
        <v>#REF!</v>
      </c>
      <c r="I180" s="162" t="e">
        <f>((G122*(1-'5.Closing Stock &amp; W Capital'!$D$16))+(F122*'5.Closing Stock &amp; W Capital'!$D$16))*$C180*I$172</f>
        <v>#REF!</v>
      </c>
      <c r="J180" s="162" t="e">
        <f>((H122*(1-'5.Closing Stock &amp; W Capital'!$D$16))+(G122*'5.Closing Stock &amp; W Capital'!$D$16))*$C180*J$172</f>
        <v>#REF!</v>
      </c>
      <c r="K180" s="79"/>
      <c r="L180" s="79"/>
    </row>
    <row r="181" spans="1:12">
      <c r="A181" s="80" t="e">
        <f t="shared" si="32"/>
        <v>#REF!</v>
      </c>
      <c r="B181" s="80" t="s">
        <v>349</v>
      </c>
      <c r="C181" s="219">
        <v>6000</v>
      </c>
      <c r="D181" s="162" t="e">
        <f>(B123*(1-'5.Closing Stock &amp; W Capital'!$D$16))*$C181*D$172</f>
        <v>#REF!</v>
      </c>
      <c r="E181" s="162" t="e">
        <f>((C123*(1-'5.Closing Stock &amp; W Capital'!$D$16))+(B123*'5.Closing Stock &amp; W Capital'!$D$16))*$C181*E$172</f>
        <v>#REF!</v>
      </c>
      <c r="F181" s="162" t="e">
        <f>((D123*(1-'5.Closing Stock &amp; W Capital'!$D$16))+(C123*'5.Closing Stock &amp; W Capital'!$D$16))*$C181*F$172</f>
        <v>#REF!</v>
      </c>
      <c r="G181" s="162" t="e">
        <f>((E123*(1-'5.Closing Stock &amp; W Capital'!$D$16))+(D123*'5.Closing Stock &amp; W Capital'!$D$16))*$C181*G$172</f>
        <v>#REF!</v>
      </c>
      <c r="H181" s="162" t="e">
        <f>((F123*(1-'5.Closing Stock &amp; W Capital'!$D$16))+(E123*'5.Closing Stock &amp; W Capital'!$D$16))*$C181*H$172</f>
        <v>#REF!</v>
      </c>
      <c r="I181" s="162" t="e">
        <f>((G123*(1-'5.Closing Stock &amp; W Capital'!$D$16))+(F123*'5.Closing Stock &amp; W Capital'!$D$16))*$C181*I$172</f>
        <v>#REF!</v>
      </c>
      <c r="J181" s="162" t="e">
        <f>((H123*(1-'5.Closing Stock &amp; W Capital'!$D$16))+(G123*'5.Closing Stock &amp; W Capital'!$D$16))*$C181*J$172</f>
        <v>#REF!</v>
      </c>
      <c r="K181" s="79"/>
      <c r="L181" s="79"/>
    </row>
    <row r="182" spans="1:12">
      <c r="A182" s="80" t="e">
        <f t="shared" si="32"/>
        <v>#REF!</v>
      </c>
      <c r="B182" s="80" t="s">
        <v>349</v>
      </c>
      <c r="C182" s="219"/>
      <c r="D182" s="162" t="e">
        <f>(B124*(1-'5.Closing Stock &amp; W Capital'!$D$16))*$C182*D$172</f>
        <v>#REF!</v>
      </c>
      <c r="E182" s="162" t="e">
        <f>((C124*(1-'5.Closing Stock &amp; W Capital'!$D$16))+(B124*'5.Closing Stock &amp; W Capital'!$D$16))*$C182*E$172</f>
        <v>#REF!</v>
      </c>
      <c r="F182" s="162" t="e">
        <f>((D124*(1-'5.Closing Stock &amp; W Capital'!$D$16))+(C124*'5.Closing Stock &amp; W Capital'!$D$16))*$C182*F$172</f>
        <v>#REF!</v>
      </c>
      <c r="G182" s="162" t="e">
        <f>((E124*(1-'5.Closing Stock &amp; W Capital'!$D$16))+(D124*'5.Closing Stock &amp; W Capital'!$D$16))*$C182*G$172</f>
        <v>#REF!</v>
      </c>
      <c r="H182" s="162" t="e">
        <f>((F124*(1-'5.Closing Stock &amp; W Capital'!$D$16))+(E124*'5.Closing Stock &amp; W Capital'!$D$16))*$C182*H$172</f>
        <v>#REF!</v>
      </c>
      <c r="I182" s="162" t="e">
        <f>((G124*(1-'5.Closing Stock &amp; W Capital'!$D$16))+(F124*'5.Closing Stock &amp; W Capital'!$D$16))*$C182*I$172</f>
        <v>#REF!</v>
      </c>
      <c r="J182" s="162" t="e">
        <f>((H124*(1-'5.Closing Stock &amp; W Capital'!$D$16))+(G124*'5.Closing Stock &amp; W Capital'!$D$16))*$C182*J$172</f>
        <v>#REF!</v>
      </c>
      <c r="K182" s="79"/>
      <c r="L182" s="79"/>
    </row>
    <row r="183" spans="1:12">
      <c r="A183" s="80" t="e">
        <f t="shared" si="32"/>
        <v>#REF!</v>
      </c>
      <c r="B183" s="80" t="s">
        <v>349</v>
      </c>
      <c r="C183" s="219">
        <v>6500</v>
      </c>
      <c r="D183" s="162" t="e">
        <f>(B125*(1-'5.Closing Stock &amp; W Capital'!$D$16))*$C183*D$172</f>
        <v>#REF!</v>
      </c>
      <c r="E183" s="162" t="e">
        <f>((C125*(1-'5.Closing Stock &amp; W Capital'!$D$16))+(B125*'5.Closing Stock &amp; W Capital'!$D$16))*$C183*E$172</f>
        <v>#REF!</v>
      </c>
      <c r="F183" s="162" t="e">
        <f>((D125*(1-'5.Closing Stock &amp; W Capital'!$D$16))+(C125*'5.Closing Stock &amp; W Capital'!$D$16))*$C183*F$172</f>
        <v>#REF!</v>
      </c>
      <c r="G183" s="162" t="e">
        <f>((E125*(1-'5.Closing Stock &amp; W Capital'!$D$16))+(D125*'5.Closing Stock &amp; W Capital'!$D$16))*$C183*G$172</f>
        <v>#REF!</v>
      </c>
      <c r="H183" s="162" t="e">
        <f>((F125*(1-'5.Closing Stock &amp; W Capital'!$D$16))+(E125*'5.Closing Stock &amp; W Capital'!$D$16))*$C183*H$172</f>
        <v>#REF!</v>
      </c>
      <c r="I183" s="162" t="e">
        <f>((G125*(1-'5.Closing Stock &amp; W Capital'!$D$16))+(F125*'5.Closing Stock &amp; W Capital'!$D$16))*$C183*I$172</f>
        <v>#REF!</v>
      </c>
      <c r="J183" s="162" t="e">
        <f>((H125*(1-'5.Closing Stock &amp; W Capital'!$D$16))+(G125*'5.Closing Stock &amp; W Capital'!$D$16))*$C183*J$172</f>
        <v>#REF!</v>
      </c>
      <c r="K183" s="79"/>
      <c r="L183" s="79"/>
    </row>
    <row r="184" spans="1:12">
      <c r="A184" s="80" t="e">
        <f t="shared" si="32"/>
        <v>#REF!</v>
      </c>
      <c r="B184" s="80" t="s">
        <v>349</v>
      </c>
      <c r="C184" s="219">
        <v>2000</v>
      </c>
      <c r="D184" s="162" t="e">
        <f>(B126*(1-'5.Closing Stock &amp; W Capital'!$D$16))*$C184*D$172</f>
        <v>#REF!</v>
      </c>
      <c r="E184" s="162" t="e">
        <f>((C126*(1-'5.Closing Stock &amp; W Capital'!$D$16))+(B126*'5.Closing Stock &amp; W Capital'!$D$16))*$C184*E$172</f>
        <v>#REF!</v>
      </c>
      <c r="F184" s="162" t="e">
        <f>((D126*(1-'5.Closing Stock &amp; W Capital'!$D$16))+(C126*'5.Closing Stock &amp; W Capital'!$D$16))*$C184*F$172</f>
        <v>#REF!</v>
      </c>
      <c r="G184" s="162" t="e">
        <f>((E126*(1-'5.Closing Stock &amp; W Capital'!$D$16))+(D126*'5.Closing Stock &amp; W Capital'!$D$16))*$C184*G$172</f>
        <v>#REF!</v>
      </c>
      <c r="H184" s="162" t="e">
        <f>((F126*(1-'5.Closing Stock &amp; W Capital'!$D$16))+(E126*'5.Closing Stock &amp; W Capital'!$D$16))*$C184*H$172</f>
        <v>#REF!</v>
      </c>
      <c r="I184" s="162" t="e">
        <f>((G126*(1-'5.Closing Stock &amp; W Capital'!$D$16))+(F126*'5.Closing Stock &amp; W Capital'!$D$16))*$C184*I$172</f>
        <v>#REF!</v>
      </c>
      <c r="J184" s="162" t="e">
        <f>((H126*(1-'5.Closing Stock &amp; W Capital'!$D$16))+(G126*'5.Closing Stock &amp; W Capital'!$D$16))*$C184*J$172</f>
        <v>#REF!</v>
      </c>
      <c r="K184" s="79"/>
      <c r="L184" s="79"/>
    </row>
    <row r="185" spans="1:12">
      <c r="A185" s="80" t="e">
        <f t="shared" si="32"/>
        <v>#REF!</v>
      </c>
      <c r="B185" s="80" t="s">
        <v>349</v>
      </c>
      <c r="C185" s="219"/>
      <c r="D185" s="162" t="e">
        <f>(B127*(1-'5.Closing Stock &amp; W Capital'!$D$16))*$C185*D$172</f>
        <v>#REF!</v>
      </c>
      <c r="E185" s="162" t="e">
        <f>((C127*(1-'5.Closing Stock &amp; W Capital'!$D$16))+(B127*'5.Closing Stock &amp; W Capital'!$D$16))*$C185*E$172</f>
        <v>#REF!</v>
      </c>
      <c r="F185" s="162" t="e">
        <f>((D127*(1-'5.Closing Stock &amp; W Capital'!$D$16))+(C127*'5.Closing Stock &amp; W Capital'!$D$16))*$C185*F$172</f>
        <v>#REF!</v>
      </c>
      <c r="G185" s="162" t="e">
        <f>((E127*(1-'5.Closing Stock &amp; W Capital'!$D$16))+(D127*'5.Closing Stock &amp; W Capital'!$D$16))*$C185*G$172</f>
        <v>#REF!</v>
      </c>
      <c r="H185" s="162" t="e">
        <f>((F127*(1-'5.Closing Stock &amp; W Capital'!$D$16))+(E127*'5.Closing Stock &amp; W Capital'!$D$16))*$C185*H$172</f>
        <v>#REF!</v>
      </c>
      <c r="I185" s="162" t="e">
        <f>((G127*(1-'5.Closing Stock &amp; W Capital'!$D$16))+(F127*'5.Closing Stock &amp; W Capital'!$D$16))*$C185*I$172</f>
        <v>#REF!</v>
      </c>
      <c r="J185" s="162" t="e">
        <f>((H127*(1-'5.Closing Stock &amp; W Capital'!$D$16))+(G127*'5.Closing Stock &amp; W Capital'!$D$16))*$C185*J$172</f>
        <v>#REF!</v>
      </c>
      <c r="K185" s="79"/>
      <c r="L185" s="79"/>
    </row>
    <row r="186" spans="1:12">
      <c r="A186" s="80" t="e">
        <f t="shared" si="32"/>
        <v>#REF!</v>
      </c>
      <c r="B186" s="80" t="s">
        <v>349</v>
      </c>
      <c r="C186" s="219"/>
      <c r="D186" s="162" t="e">
        <f>(B128*(1-'5.Closing Stock &amp; W Capital'!$D$16))*$C186*D$172</f>
        <v>#REF!</v>
      </c>
      <c r="E186" s="162" t="e">
        <f>((C128*(1-'5.Closing Stock &amp; W Capital'!$D$16))+(B128*'5.Closing Stock &amp; W Capital'!$D$16))*$C186*E$172</f>
        <v>#REF!</v>
      </c>
      <c r="F186" s="162" t="e">
        <f>((D128*(1-'5.Closing Stock &amp; W Capital'!$D$16))+(C128*'5.Closing Stock &amp; W Capital'!$D$16))*$C186*F$172</f>
        <v>#REF!</v>
      </c>
      <c r="G186" s="162" t="e">
        <f>((E128*(1-'5.Closing Stock &amp; W Capital'!$D$16))+(D128*'5.Closing Stock &amp; W Capital'!$D$16))*$C186*G$172</f>
        <v>#REF!</v>
      </c>
      <c r="H186" s="162" t="e">
        <f>((F128*(1-'5.Closing Stock &amp; W Capital'!$D$16))+(E128*'5.Closing Stock &amp; W Capital'!$D$16))*$C186*H$172</f>
        <v>#REF!</v>
      </c>
      <c r="I186" s="162" t="e">
        <f>((G128*(1-'5.Closing Stock &amp; W Capital'!$D$16))+(F128*'5.Closing Stock &amp; W Capital'!$D$16))*$C186*I$172</f>
        <v>#REF!</v>
      </c>
      <c r="J186" s="162" t="e">
        <f>((H128*(1-'5.Closing Stock &amp; W Capital'!$D$16))+(G128*'5.Closing Stock &amp; W Capital'!$D$16))*$C186*J$172</f>
        <v>#REF!</v>
      </c>
      <c r="K186" s="79"/>
      <c r="L186" s="79"/>
    </row>
    <row r="187" spans="1:12">
      <c r="A187" s="80" t="e">
        <f t="shared" si="32"/>
        <v>#REF!</v>
      </c>
      <c r="B187" s="80" t="s">
        <v>349</v>
      </c>
      <c r="C187" s="219"/>
      <c r="D187" s="162" t="e">
        <f>(B129*(1-'5.Closing Stock &amp; W Capital'!$D$16))*$C187*D$172</f>
        <v>#REF!</v>
      </c>
      <c r="E187" s="162" t="e">
        <f>((C129*(1-'5.Closing Stock &amp; W Capital'!$D$16))+(B129*'5.Closing Stock &amp; W Capital'!$D$16))*$C187*E$172</f>
        <v>#REF!</v>
      </c>
      <c r="F187" s="162" t="e">
        <f>((D129*(1-'5.Closing Stock &amp; W Capital'!$D$16))+(C129*'5.Closing Stock &amp; W Capital'!$D$16))*$C187*F$172</f>
        <v>#REF!</v>
      </c>
      <c r="G187" s="162" t="e">
        <f>((E129*(1-'5.Closing Stock &amp; W Capital'!$D$16))+(D129*'5.Closing Stock &amp; W Capital'!$D$16))*$C187*G$172</f>
        <v>#REF!</v>
      </c>
      <c r="H187" s="162" t="e">
        <f>((F129*(1-'5.Closing Stock &amp; W Capital'!$D$16))+(E129*'5.Closing Stock &amp; W Capital'!$D$16))*$C187*H$172</f>
        <v>#REF!</v>
      </c>
      <c r="I187" s="162" t="e">
        <f>((G129*(1-'5.Closing Stock &amp; W Capital'!$D$16))+(F129*'5.Closing Stock &amp; W Capital'!$D$16))*$C187*I$172</f>
        <v>#REF!</v>
      </c>
      <c r="J187" s="162" t="e">
        <f>((H129*(1-'5.Closing Stock &amp; W Capital'!$D$16))+(G129*'5.Closing Stock &amp; W Capital'!$D$16))*$C187*J$172</f>
        <v>#REF!</v>
      </c>
      <c r="K187" s="79"/>
      <c r="L187" s="79"/>
    </row>
    <row r="188" spans="1:12">
      <c r="A188" s="80" t="e">
        <f t="shared" si="32"/>
        <v>#REF!</v>
      </c>
      <c r="B188" s="80" t="s">
        <v>349</v>
      </c>
      <c r="C188" s="219">
        <v>5000</v>
      </c>
      <c r="D188" s="162" t="e">
        <f>(B130*(1-'5.Closing Stock &amp; W Capital'!$D$16))*$C188*D$172</f>
        <v>#REF!</v>
      </c>
      <c r="E188" s="162" t="e">
        <f>((C130*(1-'5.Closing Stock &amp; W Capital'!$D$16))+(B130*'5.Closing Stock &amp; W Capital'!$D$16))*$C188*E$172</f>
        <v>#REF!</v>
      </c>
      <c r="F188" s="162" t="e">
        <f>((D130*(1-'5.Closing Stock &amp; W Capital'!$D$16))+(C130*'5.Closing Stock &amp; W Capital'!$D$16))*$C188*F$172</f>
        <v>#REF!</v>
      </c>
      <c r="G188" s="162" t="e">
        <f>((E130*(1-'5.Closing Stock &amp; W Capital'!$D$16))+(D130*'5.Closing Stock &amp; W Capital'!$D$16))*$C188*G$172</f>
        <v>#REF!</v>
      </c>
      <c r="H188" s="162" t="e">
        <f>((F130*(1-'5.Closing Stock &amp; W Capital'!$D$16))+(E130*'5.Closing Stock &amp; W Capital'!$D$16))*$C188*H$172</f>
        <v>#REF!</v>
      </c>
      <c r="I188" s="162" t="e">
        <f>((G130*(1-'5.Closing Stock &amp; W Capital'!$D$16))+(F130*'5.Closing Stock &amp; W Capital'!$D$16))*$C188*I$172</f>
        <v>#REF!</v>
      </c>
      <c r="J188" s="162" t="e">
        <f>((H130*(1-'5.Closing Stock &amp; W Capital'!$D$16))+(G130*'5.Closing Stock &amp; W Capital'!$D$16))*$C188*J$172</f>
        <v>#REF!</v>
      </c>
      <c r="K188" s="79"/>
      <c r="L188" s="79"/>
    </row>
    <row r="189" spans="1:12">
      <c r="A189" s="80" t="e">
        <f t="shared" si="32"/>
        <v>#REF!</v>
      </c>
      <c r="B189" s="80" t="s">
        <v>349</v>
      </c>
      <c r="C189" s="219"/>
      <c r="D189" s="162" t="e">
        <f>(B131*(1-'5.Closing Stock &amp; W Capital'!$D$16))*$C189*D$172</f>
        <v>#REF!</v>
      </c>
      <c r="E189" s="162" t="e">
        <f>((C131*(1-'5.Closing Stock &amp; W Capital'!$D$16))+(B131*'5.Closing Stock &amp; W Capital'!$D$16))*$C189*E$172</f>
        <v>#REF!</v>
      </c>
      <c r="F189" s="162" t="e">
        <f>((D131*(1-'5.Closing Stock &amp; W Capital'!$D$16))+(C131*'5.Closing Stock &amp; W Capital'!$D$16))*$C189*F$172</f>
        <v>#REF!</v>
      </c>
      <c r="G189" s="162" t="e">
        <f>((E131*(1-'5.Closing Stock &amp; W Capital'!$D$16))+(D131*'5.Closing Stock &amp; W Capital'!$D$16))*$C189*G$172</f>
        <v>#REF!</v>
      </c>
      <c r="H189" s="162" t="e">
        <f>((F131*(1-'5.Closing Stock &amp; W Capital'!$D$16))+(E131*'5.Closing Stock &amp; W Capital'!$D$16))*$C189*H$172</f>
        <v>#REF!</v>
      </c>
      <c r="I189" s="162" t="e">
        <f>((G131*(1-'5.Closing Stock &amp; W Capital'!$D$16))+(F131*'5.Closing Stock &amp; W Capital'!$D$16))*$C189*I$172</f>
        <v>#REF!</v>
      </c>
      <c r="J189" s="162" t="e">
        <f>((H131*(1-'5.Closing Stock &amp; W Capital'!$D$16))+(G131*'5.Closing Stock &amp; W Capital'!$D$16))*$C189*J$172</f>
        <v>#REF!</v>
      </c>
      <c r="K189" s="79"/>
      <c r="L189" s="79"/>
    </row>
    <row r="190" spans="1:12">
      <c r="A190" s="80" t="e">
        <f t="shared" si="32"/>
        <v>#REF!</v>
      </c>
      <c r="B190" s="80" t="s">
        <v>349</v>
      </c>
      <c r="C190" s="219"/>
      <c r="D190" s="162" t="e">
        <f>(B132*(1-'5.Closing Stock &amp; W Capital'!$D$16))*$C190*D$172</f>
        <v>#REF!</v>
      </c>
      <c r="E190" s="162" t="e">
        <f>((C132*(1-'5.Closing Stock &amp; W Capital'!$D$16))+(B132*'5.Closing Stock &amp; W Capital'!$D$16))*$C190*E$172</f>
        <v>#REF!</v>
      </c>
      <c r="F190" s="162" t="e">
        <f>((D132*(1-'5.Closing Stock &amp; W Capital'!$D$16))+(C132*'5.Closing Stock &amp; W Capital'!$D$16))*$C190*F$172</f>
        <v>#REF!</v>
      </c>
      <c r="G190" s="162" t="e">
        <f>((E132*(1-'5.Closing Stock &amp; W Capital'!$D$16))+(D132*'5.Closing Stock &amp; W Capital'!$D$16))*$C190*G$172</f>
        <v>#REF!</v>
      </c>
      <c r="H190" s="162" t="e">
        <f>((F132*(1-'5.Closing Stock &amp; W Capital'!$D$16))+(E132*'5.Closing Stock &amp; W Capital'!$D$16))*$C190*H$172</f>
        <v>#REF!</v>
      </c>
      <c r="I190" s="162" t="e">
        <f>((G132*(1-'5.Closing Stock &amp; W Capital'!$D$16))+(F132*'5.Closing Stock &amp; W Capital'!$D$16))*$C190*I$172</f>
        <v>#REF!</v>
      </c>
      <c r="J190" s="162" t="e">
        <f>((H132*(1-'5.Closing Stock &amp; W Capital'!$D$16))+(G132*'5.Closing Stock &amp; W Capital'!$D$16))*$C190*J$172</f>
        <v>#REF!</v>
      </c>
      <c r="K190" s="79"/>
      <c r="L190" s="79"/>
    </row>
    <row r="191" spans="1:12">
      <c r="A191" s="80" t="e">
        <f t="shared" si="32"/>
        <v>#REF!</v>
      </c>
      <c r="B191" s="80" t="s">
        <v>349</v>
      </c>
      <c r="C191" s="219"/>
      <c r="D191" s="162" t="e">
        <f>(B133*(1-'5.Closing Stock &amp; W Capital'!$D$16))*$C191*D$172</f>
        <v>#REF!</v>
      </c>
      <c r="E191" s="162" t="e">
        <f>((C133*(1-'5.Closing Stock &amp; W Capital'!$D$16))+(B133*'5.Closing Stock &amp; W Capital'!$D$16))*$C191*E$172</f>
        <v>#REF!</v>
      </c>
      <c r="F191" s="162" t="e">
        <f>((D133*(1-'5.Closing Stock &amp; W Capital'!$D$16))+(C133*'5.Closing Stock &amp; W Capital'!$D$16))*$C191*F$172</f>
        <v>#REF!</v>
      </c>
      <c r="G191" s="162" t="e">
        <f>((E133*(1-'5.Closing Stock &amp; W Capital'!$D$16))+(D133*'5.Closing Stock &amp; W Capital'!$D$16))*$C191*G$172</f>
        <v>#REF!</v>
      </c>
      <c r="H191" s="162" t="e">
        <f>((F133*(1-'5.Closing Stock &amp; W Capital'!$D$16))+(E133*'5.Closing Stock &amp; W Capital'!$D$16))*$C191*H$172</f>
        <v>#REF!</v>
      </c>
      <c r="I191" s="162" t="e">
        <f>((G133*(1-'5.Closing Stock &amp; W Capital'!$D$16))+(F133*'5.Closing Stock &amp; W Capital'!$D$16))*$C191*I$172</f>
        <v>#REF!</v>
      </c>
      <c r="J191" s="162" t="e">
        <f>((H133*(1-'5.Closing Stock &amp; W Capital'!$D$16))+(G133*'5.Closing Stock &amp; W Capital'!$D$16))*$C191*J$172</f>
        <v>#REF!</v>
      </c>
      <c r="K191" s="79"/>
      <c r="L191" s="79"/>
    </row>
    <row r="192" spans="1:12">
      <c r="A192" s="80" t="e">
        <f t="shared" si="32"/>
        <v>#REF!</v>
      </c>
      <c r="B192" s="80" t="s">
        <v>349</v>
      </c>
      <c r="C192" s="219"/>
      <c r="D192" s="162" t="e">
        <f>(B134*(1-'5.Closing Stock &amp; W Capital'!$D$16))*$C192*D$172</f>
        <v>#REF!</v>
      </c>
      <c r="E192" s="162" t="e">
        <f>((C134*(1-'5.Closing Stock &amp; W Capital'!$D$16))+(B134*'5.Closing Stock &amp; W Capital'!$D$16))*$C192*E$172</f>
        <v>#REF!</v>
      </c>
      <c r="F192" s="162" t="e">
        <f>((D134*(1-'5.Closing Stock &amp; W Capital'!$D$16))+(C134*'5.Closing Stock &amp; W Capital'!$D$16))*$C192*F$172</f>
        <v>#REF!</v>
      </c>
      <c r="G192" s="162" t="e">
        <f>((E134*(1-'5.Closing Stock &amp; W Capital'!$D$16))+(D134*'5.Closing Stock &amp; W Capital'!$D$16))*$C192*G$172</f>
        <v>#REF!</v>
      </c>
      <c r="H192" s="162" t="e">
        <f>((F134*(1-'5.Closing Stock &amp; W Capital'!$D$16))+(E134*'5.Closing Stock &amp; W Capital'!$D$16))*$C192*H$172</f>
        <v>#REF!</v>
      </c>
      <c r="I192" s="162" t="e">
        <f>((G134*(1-'5.Closing Stock &amp; W Capital'!$D$16))+(F134*'5.Closing Stock &amp; W Capital'!$D$16))*$C192*I$172</f>
        <v>#REF!</v>
      </c>
      <c r="J192" s="162" t="e">
        <f>((H134*(1-'5.Closing Stock &amp; W Capital'!$D$16))+(G134*'5.Closing Stock &amp; W Capital'!$D$16))*$C192*J$172</f>
        <v>#REF!</v>
      </c>
      <c r="K192" s="79"/>
      <c r="L192" s="79"/>
    </row>
    <row r="193" spans="1:12">
      <c r="A193" s="80" t="e">
        <f t="shared" si="32"/>
        <v>#REF!</v>
      </c>
      <c r="B193" s="80" t="s">
        <v>349</v>
      </c>
      <c r="C193" s="219"/>
      <c r="D193" s="162" t="e">
        <f>(B135*(1-'5.Closing Stock &amp; W Capital'!$D$16))*$C193*D$172</f>
        <v>#REF!</v>
      </c>
      <c r="E193" s="162" t="e">
        <f>((C135*(1-'5.Closing Stock &amp; W Capital'!$D$16))+(B135*'5.Closing Stock &amp; W Capital'!$D$16))*$C193*E$172</f>
        <v>#REF!</v>
      </c>
      <c r="F193" s="162" t="e">
        <f>((D135*(1-'5.Closing Stock &amp; W Capital'!$D$16))+(C135*'5.Closing Stock &amp; W Capital'!$D$16))*$C193*F$172</f>
        <v>#REF!</v>
      </c>
      <c r="G193" s="162" t="e">
        <f>((E135*(1-'5.Closing Stock &amp; W Capital'!$D$16))+(D135*'5.Closing Stock &amp; W Capital'!$D$16))*$C193*G$172</f>
        <v>#REF!</v>
      </c>
      <c r="H193" s="162" t="e">
        <f>((F135*(1-'5.Closing Stock &amp; W Capital'!$D$16))+(E135*'5.Closing Stock &amp; W Capital'!$D$16))*$C193*H$172</f>
        <v>#REF!</v>
      </c>
      <c r="I193" s="162" t="e">
        <f>((G135*(1-'5.Closing Stock &amp; W Capital'!$D$16))+(F135*'5.Closing Stock &amp; W Capital'!$D$16))*$C193*I$172</f>
        <v>#REF!</v>
      </c>
      <c r="J193" s="162" t="e">
        <f>((H135*(1-'5.Closing Stock &amp; W Capital'!$D$16))+(G135*'5.Closing Stock &amp; W Capital'!$D$16))*$C193*J$172</f>
        <v>#REF!</v>
      </c>
      <c r="K193" s="79"/>
      <c r="L193" s="79"/>
    </row>
    <row r="194" spans="1:12">
      <c r="A194" s="80" t="e">
        <f t="shared" si="32"/>
        <v>#REF!</v>
      </c>
      <c r="B194" s="80" t="s">
        <v>349</v>
      </c>
      <c r="C194" s="219"/>
      <c r="D194" s="162" t="e">
        <f>(B136*(1-'5.Closing Stock &amp; W Capital'!$D$16))*$C194*D$172</f>
        <v>#REF!</v>
      </c>
      <c r="E194" s="162" t="e">
        <f>((C136*(1-'5.Closing Stock &amp; W Capital'!$D$16))+(B136*'5.Closing Stock &amp; W Capital'!$D$16))*$C194*E$172</f>
        <v>#REF!</v>
      </c>
      <c r="F194" s="162" t="e">
        <f>((D136*(1-'5.Closing Stock &amp; W Capital'!$D$16))+(C136*'5.Closing Stock &amp; W Capital'!$D$16))*$C194*F$172</f>
        <v>#REF!</v>
      </c>
      <c r="G194" s="162" t="e">
        <f>((E136*(1-'5.Closing Stock &amp; W Capital'!$D$16))+(D136*'5.Closing Stock &amp; W Capital'!$D$16))*$C194*G$172</f>
        <v>#REF!</v>
      </c>
      <c r="H194" s="162" t="e">
        <f>((F136*(1-'5.Closing Stock &amp; W Capital'!$D$16))+(E136*'5.Closing Stock &amp; W Capital'!$D$16))*$C194*H$172</f>
        <v>#REF!</v>
      </c>
      <c r="I194" s="162" t="e">
        <f>((G136*(1-'5.Closing Stock &amp; W Capital'!$D$16))+(F136*'5.Closing Stock &amp; W Capital'!$D$16))*$C194*I$172</f>
        <v>#REF!</v>
      </c>
      <c r="J194" s="162" t="e">
        <f>((H136*(1-'5.Closing Stock &amp; W Capital'!$D$16))+(G136*'5.Closing Stock &amp; W Capital'!$D$16))*$C194*J$172</f>
        <v>#REF!</v>
      </c>
      <c r="K194" s="79"/>
      <c r="L194" s="79"/>
    </row>
    <row r="195" spans="1:12">
      <c r="A195" s="80" t="e">
        <f t="shared" si="32"/>
        <v>#REF!</v>
      </c>
      <c r="B195" s="80" t="s">
        <v>349</v>
      </c>
      <c r="C195" s="219"/>
      <c r="D195" s="162" t="e">
        <f>(B137*(1-'5.Closing Stock &amp; W Capital'!$D$16))*$C195*D$172</f>
        <v>#REF!</v>
      </c>
      <c r="E195" s="162" t="e">
        <f>((C137*(1-'5.Closing Stock &amp; W Capital'!$D$16))+(B137*'5.Closing Stock &amp; W Capital'!$D$16))*$C195*E$172</f>
        <v>#REF!</v>
      </c>
      <c r="F195" s="162" t="e">
        <f>((D137*(1-'5.Closing Stock &amp; W Capital'!$D$16))+(C137*'5.Closing Stock &amp; W Capital'!$D$16))*$C195*F$172</f>
        <v>#REF!</v>
      </c>
      <c r="G195" s="162" t="e">
        <f>((E137*(1-'5.Closing Stock &amp; W Capital'!$D$16))+(D137*'5.Closing Stock &amp; W Capital'!$D$16))*$C195*G$172</f>
        <v>#REF!</v>
      </c>
      <c r="H195" s="162" t="e">
        <f>((F137*(1-'5.Closing Stock &amp; W Capital'!$D$16))+(E137*'5.Closing Stock &amp; W Capital'!$D$16))*$C195*H$172</f>
        <v>#REF!</v>
      </c>
      <c r="I195" s="162" t="e">
        <f>((G137*(1-'5.Closing Stock &amp; W Capital'!$D$16))+(F137*'5.Closing Stock &amp; W Capital'!$D$16))*$C195*I$172</f>
        <v>#REF!</v>
      </c>
      <c r="J195" s="162" t="e">
        <f>((H137*(1-'5.Closing Stock &amp; W Capital'!$D$16))+(G137*'5.Closing Stock &amp; W Capital'!$D$16))*$C195*J$172</f>
        <v>#REF!</v>
      </c>
      <c r="K195" s="79"/>
      <c r="L195" s="79"/>
    </row>
    <row r="196" spans="1:12">
      <c r="A196" s="80" t="e">
        <f t="shared" si="32"/>
        <v>#REF!</v>
      </c>
      <c r="B196" s="80" t="s">
        <v>349</v>
      </c>
      <c r="C196" s="219"/>
      <c r="D196" s="162" t="e">
        <f>(B138*(1-'5.Closing Stock &amp; W Capital'!$D$16))*$C196*D$172</f>
        <v>#REF!</v>
      </c>
      <c r="E196" s="162" t="e">
        <f>((C138*(1-'5.Closing Stock &amp; W Capital'!$D$16))+(B138*'5.Closing Stock &amp; W Capital'!$D$16))*$C196*E$172</f>
        <v>#REF!</v>
      </c>
      <c r="F196" s="162" t="e">
        <f>((D138*(1-'5.Closing Stock &amp; W Capital'!$D$16))+(C138*'5.Closing Stock &amp; W Capital'!$D$16))*$C196*F$172</f>
        <v>#REF!</v>
      </c>
      <c r="G196" s="162" t="e">
        <f>((E138*(1-'5.Closing Stock &amp; W Capital'!$D$16))+(D138*'5.Closing Stock &amp; W Capital'!$D$16))*$C196*G$172</f>
        <v>#REF!</v>
      </c>
      <c r="H196" s="162" t="e">
        <f>((F138*(1-'5.Closing Stock &amp; W Capital'!$D$16))+(E138*'5.Closing Stock &amp; W Capital'!$D$16))*$C196*H$172</f>
        <v>#REF!</v>
      </c>
      <c r="I196" s="162" t="e">
        <f>((G138*(1-'5.Closing Stock &amp; W Capital'!$D$16))+(F138*'5.Closing Stock &amp; W Capital'!$D$16))*$C196*I$172</f>
        <v>#REF!</v>
      </c>
      <c r="J196" s="162" t="e">
        <f>((H138*(1-'5.Closing Stock &amp; W Capital'!$D$16))+(G138*'5.Closing Stock &amp; W Capital'!$D$16))*$C196*J$172</f>
        <v>#REF!</v>
      </c>
      <c r="K196" s="79"/>
      <c r="L196" s="79"/>
    </row>
    <row r="197" spans="1:12">
      <c r="A197" s="80" t="e">
        <f t="shared" si="32"/>
        <v>#REF!</v>
      </c>
      <c r="B197" s="80" t="s">
        <v>349</v>
      </c>
      <c r="C197" s="219"/>
      <c r="D197" s="162" t="e">
        <f>(B139*(1-'5.Closing Stock &amp; W Capital'!$D$16))*$C197*D$172</f>
        <v>#REF!</v>
      </c>
      <c r="E197" s="162" t="e">
        <f>((C139*(1-'5.Closing Stock &amp; W Capital'!$D$16))+(B139*'5.Closing Stock &amp; W Capital'!$D$16))*$C197*E$172</f>
        <v>#REF!</v>
      </c>
      <c r="F197" s="162" t="e">
        <f>((D139*(1-'5.Closing Stock &amp; W Capital'!$D$16))+(C139*'5.Closing Stock &amp; W Capital'!$D$16))*$C197*F$172</f>
        <v>#REF!</v>
      </c>
      <c r="G197" s="162" t="e">
        <f>((E139*(1-'5.Closing Stock &amp; W Capital'!$D$16))+(D139*'5.Closing Stock &amp; W Capital'!$D$16))*$C197*G$172</f>
        <v>#REF!</v>
      </c>
      <c r="H197" s="162" t="e">
        <f>((F139*(1-'5.Closing Stock &amp; W Capital'!$D$16))+(E139*'5.Closing Stock &amp; W Capital'!$D$16))*$C197*H$172</f>
        <v>#REF!</v>
      </c>
      <c r="I197" s="162" t="e">
        <f>((G139*(1-'5.Closing Stock &amp; W Capital'!$D$16))+(F139*'5.Closing Stock &amp; W Capital'!$D$16))*$C197*I$172</f>
        <v>#REF!</v>
      </c>
      <c r="J197" s="162" t="e">
        <f>((H139*(1-'5.Closing Stock &amp; W Capital'!$D$16))+(G139*'5.Closing Stock &amp; W Capital'!$D$16))*$C197*J$172</f>
        <v>#REF!</v>
      </c>
      <c r="K197" s="79"/>
      <c r="L197" s="79"/>
    </row>
    <row r="198" spans="1:12">
      <c r="A198" s="80" t="e">
        <f t="shared" si="32"/>
        <v>#REF!</v>
      </c>
      <c r="B198" s="80" t="s">
        <v>349</v>
      </c>
      <c r="C198" s="219"/>
      <c r="D198" s="162" t="e">
        <f>(B140*(1-'5.Closing Stock &amp; W Capital'!$D$16))*$C198*D$172</f>
        <v>#REF!</v>
      </c>
      <c r="E198" s="162" t="e">
        <f>((C140*(1-'5.Closing Stock &amp; W Capital'!$D$16))+(B140*'5.Closing Stock &amp; W Capital'!$D$16))*$C198*E$172</f>
        <v>#REF!</v>
      </c>
      <c r="F198" s="162" t="e">
        <f>((D140*(1-'5.Closing Stock &amp; W Capital'!$D$16))+(C140*'5.Closing Stock &amp; W Capital'!$D$16))*$C198*F$172</f>
        <v>#REF!</v>
      </c>
      <c r="G198" s="162" t="e">
        <f>((E140*(1-'5.Closing Stock &amp; W Capital'!$D$16))+(D140*'5.Closing Stock &amp; W Capital'!$D$16))*$C198*G$172</f>
        <v>#REF!</v>
      </c>
      <c r="H198" s="162" t="e">
        <f>((F140*(1-'5.Closing Stock &amp; W Capital'!$D$16))+(E140*'5.Closing Stock &amp; W Capital'!$D$16))*$C198*H$172</f>
        <v>#REF!</v>
      </c>
      <c r="I198" s="162" t="e">
        <f>((G140*(1-'5.Closing Stock &amp; W Capital'!$D$16))+(F140*'5.Closing Stock &amp; W Capital'!$D$16))*$C198*I$172</f>
        <v>#REF!</v>
      </c>
      <c r="J198" s="162" t="e">
        <f>((H140*(1-'5.Closing Stock &amp; W Capital'!$D$16))+(G140*'5.Closing Stock &amp; W Capital'!$D$16))*$C198*J$172</f>
        <v>#REF!</v>
      </c>
      <c r="K198" s="79"/>
      <c r="L198" s="79"/>
    </row>
    <row r="199" spans="1:12">
      <c r="A199" s="80"/>
      <c r="B199" s="80" t="s">
        <v>349</v>
      </c>
      <c r="C199" s="219"/>
      <c r="D199" s="162" t="e">
        <f>(B141*(1-'5.Closing Stock &amp; W Capital'!$D$16))*$C199*D$172</f>
        <v>#REF!</v>
      </c>
      <c r="E199" s="162" t="e">
        <f>((C141*(1-'5.Closing Stock &amp; W Capital'!$D$16))+(B141*'5.Closing Stock &amp; W Capital'!$D$16))*$C199*E$172</f>
        <v>#REF!</v>
      </c>
      <c r="F199" s="162" t="e">
        <f>((D141*(1-'5.Closing Stock &amp; W Capital'!$D$16))+(C141*'5.Closing Stock &amp; W Capital'!$D$16))*$C199*F$172</f>
        <v>#REF!</v>
      </c>
      <c r="G199" s="162" t="e">
        <f>((E141*(1-'5.Closing Stock &amp; W Capital'!$D$16))+(D141*'5.Closing Stock &amp; W Capital'!$D$16))*$C199*G$172</f>
        <v>#REF!</v>
      </c>
      <c r="H199" s="162" t="e">
        <f>((F141*(1-'5.Closing Stock &amp; W Capital'!$D$16))+(E141*'5.Closing Stock &amp; W Capital'!$D$16))*$C199*H$172</f>
        <v>#REF!</v>
      </c>
      <c r="I199" s="162" t="e">
        <f>((G141*(1-'5.Closing Stock &amp; W Capital'!$D$16))+(F141*'5.Closing Stock &amp; W Capital'!$D$16))*$C199*I$172</f>
        <v>#REF!</v>
      </c>
      <c r="J199" s="162" t="e">
        <f>((H141*(1-'5.Closing Stock &amp; W Capital'!$D$16))+(G141*'5.Closing Stock &amp; W Capital'!$D$16))*$C199*J$172</f>
        <v>#REF!</v>
      </c>
      <c r="K199" s="79"/>
      <c r="L199" s="79"/>
    </row>
    <row r="200" spans="1:12">
      <c r="A200" s="82" t="s">
        <v>283</v>
      </c>
      <c r="B200" s="80" t="s">
        <v>349</v>
      </c>
      <c r="C200" s="197">
        <v>50</v>
      </c>
      <c r="D200" s="162" t="e">
        <f t="shared" ref="D200:J200" si="33">B65*$C$200*D172</f>
        <v>#REF!</v>
      </c>
      <c r="E200" s="162" t="e">
        <f t="shared" si="33"/>
        <v>#REF!</v>
      </c>
      <c r="F200" s="162" t="e">
        <f t="shared" si="33"/>
        <v>#REF!</v>
      </c>
      <c r="G200" s="162" t="e">
        <f t="shared" si="33"/>
        <v>#REF!</v>
      </c>
      <c r="H200" s="162" t="e">
        <f t="shared" si="33"/>
        <v>#REF!</v>
      </c>
      <c r="I200" s="162" t="e">
        <f t="shared" si="33"/>
        <v>#REF!</v>
      </c>
      <c r="J200" s="162" t="e">
        <f t="shared" si="33"/>
        <v>#REF!</v>
      </c>
      <c r="K200" s="79"/>
      <c r="L200" s="79"/>
    </row>
    <row r="201" spans="1:12">
      <c r="A201" s="82"/>
      <c r="B201" s="82"/>
      <c r="C201" s="82"/>
      <c r="D201" s="80"/>
      <c r="E201" s="80"/>
      <c r="F201" s="80"/>
      <c r="G201" s="80"/>
      <c r="H201" s="80"/>
      <c r="I201" s="80"/>
      <c r="J201" s="80"/>
      <c r="K201" s="79"/>
      <c r="L201" s="79"/>
    </row>
    <row r="202" spans="1:12">
      <c r="A202" s="82" t="str">
        <f t="shared" ref="A202:A220" si="34">A143</f>
        <v>Fruit  &amp; Vegetables Crop Production Details</v>
      </c>
      <c r="B202" s="82"/>
      <c r="C202" s="82"/>
      <c r="D202" s="80"/>
      <c r="E202" s="80"/>
      <c r="F202" s="80"/>
      <c r="G202" s="80"/>
      <c r="H202" s="80"/>
      <c r="I202" s="80"/>
      <c r="J202" s="80"/>
      <c r="K202" s="79"/>
      <c r="L202" s="79"/>
    </row>
    <row r="203" spans="1:12">
      <c r="A203" s="82" t="str">
        <f t="shared" si="34"/>
        <v>Okra</v>
      </c>
      <c r="B203" s="80" t="s">
        <v>349</v>
      </c>
      <c r="C203" s="289">
        <v>2000</v>
      </c>
      <c r="D203" s="162">
        <f>(B144*(1-'5.Closing Stock &amp; W Capital'!$D$16))*$C203*D$172</f>
        <v>0</v>
      </c>
      <c r="E203" s="162">
        <f>((C144*(1-'5.Closing Stock &amp; W Capital'!$D$16))+(B144*'5.Closing Stock &amp; W Capital'!$D$16))*$C203*E$172</f>
        <v>0</v>
      </c>
      <c r="F203" s="162">
        <f>((D144*(1-'5.Closing Stock &amp; W Capital'!$D$16))+(C144*'5.Closing Stock &amp; W Capital'!$D$16))*$C203*F$172</f>
        <v>0</v>
      </c>
      <c r="G203" s="162">
        <f>((E144*(1-'5.Closing Stock &amp; W Capital'!$D$16))+(D144*'5.Closing Stock &amp; W Capital'!$D$16))*$C203*G$172</f>
        <v>0</v>
      </c>
      <c r="H203" s="162">
        <f>((F144*(1-'5.Closing Stock &amp; W Capital'!$D$16))+(E144*'5.Closing Stock &amp; W Capital'!$D$16))*$C203*H$172</f>
        <v>0</v>
      </c>
      <c r="I203" s="162">
        <f>((G144*(1-'5.Closing Stock &amp; W Capital'!$D$16))+(F144*'5.Closing Stock &amp; W Capital'!$D$16))*$C203*I$172</f>
        <v>0</v>
      </c>
      <c r="J203" s="162">
        <f>((H144*(1-'5.Closing Stock &amp; W Capital'!$D$16))+(G144*'5.Closing Stock &amp; W Capital'!$D$16))*$C203*J$172</f>
        <v>0</v>
      </c>
      <c r="K203" s="79"/>
      <c r="L203" s="79"/>
    </row>
    <row r="204" spans="1:12">
      <c r="A204" s="82" t="e">
        <f t="shared" si="34"/>
        <v>#REF!</v>
      </c>
      <c r="B204" s="80" t="s">
        <v>349</v>
      </c>
      <c r="C204" s="219">
        <v>1000</v>
      </c>
      <c r="D204" s="162" t="e">
        <f>(B145*(1-'5.Closing Stock &amp; W Capital'!$D$16))*$C204*D$172</f>
        <v>#REF!</v>
      </c>
      <c r="E204" s="162" t="e">
        <f>((C145*(1-'5.Closing Stock &amp; W Capital'!$D$16))+(B145*'5.Closing Stock &amp; W Capital'!$D$16))*$C204*E$172</f>
        <v>#REF!</v>
      </c>
      <c r="F204" s="162" t="e">
        <f>((D145*(1-'5.Closing Stock &amp; W Capital'!$D$16))+(C145*'5.Closing Stock &amp; W Capital'!$D$16))*$C204*F$172</f>
        <v>#REF!</v>
      </c>
      <c r="G204" s="162" t="e">
        <f>((E145*(1-'5.Closing Stock &amp; W Capital'!$D$16))+(D145*'5.Closing Stock &amp; W Capital'!$D$16))*$C204*G$172</f>
        <v>#REF!</v>
      </c>
      <c r="H204" s="162" t="e">
        <f>((F145*(1-'5.Closing Stock &amp; W Capital'!$D$16))+(E145*'5.Closing Stock &amp; W Capital'!$D$16))*$C204*H$172</f>
        <v>#REF!</v>
      </c>
      <c r="I204" s="162" t="e">
        <f>((G145*(1-'5.Closing Stock &amp; W Capital'!$D$16))+(F145*'5.Closing Stock &amp; W Capital'!$D$16))*$C204*I$172</f>
        <v>#REF!</v>
      </c>
      <c r="J204" s="162" t="e">
        <f>((H145*(1-'5.Closing Stock &amp; W Capital'!$D$16))+(G145*'5.Closing Stock &amp; W Capital'!$D$16))*$C204*J$172</f>
        <v>#REF!</v>
      </c>
      <c r="K204" s="79"/>
      <c r="L204" s="79"/>
    </row>
    <row r="205" spans="1:12">
      <c r="A205" s="82" t="e">
        <f t="shared" si="34"/>
        <v>#REF!</v>
      </c>
      <c r="B205" s="80" t="s">
        <v>349</v>
      </c>
      <c r="C205" s="219">
        <v>1500</v>
      </c>
      <c r="D205" s="162" t="e">
        <f>(B146*(1-'5.Closing Stock &amp; W Capital'!$D$16))*$C205*D$172</f>
        <v>#REF!</v>
      </c>
      <c r="E205" s="162" t="e">
        <f>((C146*(1-'5.Closing Stock &amp; W Capital'!$D$16))+(B146*'5.Closing Stock &amp; W Capital'!$D$16))*$C205*E$172</f>
        <v>#REF!</v>
      </c>
      <c r="F205" s="162" t="e">
        <f>((D146*(1-'5.Closing Stock &amp; W Capital'!$D$16))+(C146*'5.Closing Stock &amp; W Capital'!$D$16))*$C205*F$172</f>
        <v>#REF!</v>
      </c>
      <c r="G205" s="162" t="e">
        <f>((E146*(1-'5.Closing Stock &amp; W Capital'!$D$16))+(D146*'5.Closing Stock &amp; W Capital'!$D$16))*$C205*G$172</f>
        <v>#REF!</v>
      </c>
      <c r="H205" s="162" t="e">
        <f>((F146*(1-'5.Closing Stock &amp; W Capital'!$D$16))+(E146*'5.Closing Stock &amp; W Capital'!$D$16))*$C205*H$172</f>
        <v>#REF!</v>
      </c>
      <c r="I205" s="162" t="e">
        <f>((G146*(1-'5.Closing Stock &amp; W Capital'!$D$16))+(F146*'5.Closing Stock &amp; W Capital'!$D$16))*$C205*I$172</f>
        <v>#REF!</v>
      </c>
      <c r="J205" s="162" t="e">
        <f>((H146*(1-'5.Closing Stock &amp; W Capital'!$D$16))+(G146*'5.Closing Stock &amp; W Capital'!$D$16))*$C205*J$172</f>
        <v>#REF!</v>
      </c>
      <c r="K205" s="79"/>
      <c r="L205" s="79"/>
    </row>
    <row r="206" spans="1:12">
      <c r="A206" s="82" t="str">
        <f t="shared" si="34"/>
        <v>Chilli</v>
      </c>
      <c r="B206" s="80" t="s">
        <v>349</v>
      </c>
      <c r="C206" s="219">
        <v>3000</v>
      </c>
      <c r="D206" s="162">
        <f>(B147*(1-'5.Closing Stock &amp; W Capital'!$D$16))*$C206*D$172</f>
        <v>0</v>
      </c>
      <c r="E206" s="162">
        <f>((C147*(1-'5.Closing Stock &amp; W Capital'!$D$16))+(B147*'5.Closing Stock &amp; W Capital'!$D$16))*$C206*E$172</f>
        <v>0</v>
      </c>
      <c r="F206" s="162">
        <f>((D147*(1-'5.Closing Stock &amp; W Capital'!$D$16))+(C147*'5.Closing Stock &amp; W Capital'!$D$16))*$C206*F$172</f>
        <v>0</v>
      </c>
      <c r="G206" s="162">
        <f>((E147*(1-'5.Closing Stock &amp; W Capital'!$D$16))+(D147*'5.Closing Stock &amp; W Capital'!$D$16))*$C206*G$172</f>
        <v>0</v>
      </c>
      <c r="H206" s="162">
        <f>((F147*(1-'5.Closing Stock &amp; W Capital'!$D$16))+(E147*'5.Closing Stock &amp; W Capital'!$D$16))*$C206*H$172</f>
        <v>0</v>
      </c>
      <c r="I206" s="162">
        <f>((G147*(1-'5.Closing Stock &amp; W Capital'!$D$16))+(F147*'5.Closing Stock &amp; W Capital'!$D$16))*$C206*I$172</f>
        <v>0</v>
      </c>
      <c r="J206" s="162">
        <f>((H147*(1-'5.Closing Stock &amp; W Capital'!$D$16))+(G147*'5.Closing Stock &amp; W Capital'!$D$16))*$C206*J$172</f>
        <v>0</v>
      </c>
      <c r="K206" s="79"/>
      <c r="L206" s="79"/>
    </row>
    <row r="207" spans="1:12">
      <c r="A207" s="82" t="e">
        <f t="shared" si="34"/>
        <v>#REF!</v>
      </c>
      <c r="B207" s="80" t="s">
        <v>349</v>
      </c>
      <c r="C207" s="219">
        <v>1500</v>
      </c>
      <c r="D207" s="162" t="e">
        <f>(B148*(1-'5.Closing Stock &amp; W Capital'!$D$16))*$C207*D$172</f>
        <v>#REF!</v>
      </c>
      <c r="E207" s="162" t="e">
        <f>((C148*(1-'5.Closing Stock &amp; W Capital'!$D$16))+(B148*'5.Closing Stock &amp; W Capital'!$D$16))*$C207*E$172</f>
        <v>#REF!</v>
      </c>
      <c r="F207" s="162" t="e">
        <f>((D148*(1-'5.Closing Stock &amp; W Capital'!$D$16))+(C148*'5.Closing Stock &amp; W Capital'!$D$16))*$C207*F$172</f>
        <v>#REF!</v>
      </c>
      <c r="G207" s="162" t="e">
        <f>((E148*(1-'5.Closing Stock &amp; W Capital'!$D$16))+(D148*'5.Closing Stock &amp; W Capital'!$D$16))*$C207*G$172</f>
        <v>#REF!</v>
      </c>
      <c r="H207" s="162" t="e">
        <f>((F148*(1-'5.Closing Stock &amp; W Capital'!$D$16))+(E148*'5.Closing Stock &amp; W Capital'!$D$16))*$C207*H$172</f>
        <v>#REF!</v>
      </c>
      <c r="I207" s="162" t="e">
        <f>((G148*(1-'5.Closing Stock &amp; W Capital'!$D$16))+(F148*'5.Closing Stock &amp; W Capital'!$D$16))*$C207*I$172</f>
        <v>#REF!</v>
      </c>
      <c r="J207" s="162" t="e">
        <f>((H148*(1-'5.Closing Stock &amp; W Capital'!$D$16))+(G148*'5.Closing Stock &amp; W Capital'!$D$16))*$C207*J$172</f>
        <v>#REF!</v>
      </c>
      <c r="K207" s="79"/>
      <c r="L207" s="79"/>
    </row>
    <row r="208" spans="1:12">
      <c r="A208" s="82" t="e">
        <f t="shared" si="34"/>
        <v>#REF!</v>
      </c>
      <c r="B208" s="80" t="s">
        <v>349</v>
      </c>
      <c r="C208" s="197"/>
      <c r="D208" s="162" t="e">
        <f>(B149*(1-'5.Closing Stock &amp; W Capital'!$D$16))*$C208*D$172</f>
        <v>#REF!</v>
      </c>
      <c r="E208" s="162" t="e">
        <f>((C149*(1-'5.Closing Stock &amp; W Capital'!$D$16))+(B149*'5.Closing Stock &amp; W Capital'!$D$16))*$C208*E$172</f>
        <v>#REF!</v>
      </c>
      <c r="F208" s="162" t="e">
        <f>((D149*(1-'5.Closing Stock &amp; W Capital'!$D$16))+(C149*'5.Closing Stock &amp; W Capital'!$D$16))*$C208*F$172</f>
        <v>#REF!</v>
      </c>
      <c r="G208" s="162" t="e">
        <f>((E149*(1-'5.Closing Stock &amp; W Capital'!$D$16))+(D149*'5.Closing Stock &amp; W Capital'!$D$16))*$C208*G$172</f>
        <v>#REF!</v>
      </c>
      <c r="H208" s="162" t="e">
        <f>((F149*(1-'5.Closing Stock &amp; W Capital'!$D$16))+(E149*'5.Closing Stock &amp; W Capital'!$D$16))*$C208*H$172</f>
        <v>#REF!</v>
      </c>
      <c r="I208" s="162" t="e">
        <f>((G149*(1-'5.Closing Stock &amp; W Capital'!$D$16))+(F149*'5.Closing Stock &amp; W Capital'!$D$16))*$C208*I$172</f>
        <v>#REF!</v>
      </c>
      <c r="J208" s="162" t="e">
        <f>((H149*(1-'5.Closing Stock &amp; W Capital'!$D$16))+(G149*'5.Closing Stock &amp; W Capital'!$D$16))*$C208*J$172</f>
        <v>#REF!</v>
      </c>
      <c r="K208" s="79"/>
      <c r="L208" s="79"/>
    </row>
    <row r="209" spans="1:12">
      <c r="A209" s="82" t="e">
        <f t="shared" si="34"/>
        <v>#REF!</v>
      </c>
      <c r="B209" s="80" t="s">
        <v>349</v>
      </c>
      <c r="C209" s="197"/>
      <c r="D209" s="162" t="e">
        <f>(B150*(1-'5.Closing Stock &amp; W Capital'!$D$16))*$C209*D$172</f>
        <v>#REF!</v>
      </c>
      <c r="E209" s="162" t="e">
        <f>((C150*(1-'5.Closing Stock &amp; W Capital'!$D$16))+(B150*'5.Closing Stock &amp; W Capital'!$D$16))*$C209*E$172</f>
        <v>#REF!</v>
      </c>
      <c r="F209" s="162" t="e">
        <f>((D150*(1-'5.Closing Stock &amp; W Capital'!$D$16))+(C150*'5.Closing Stock &amp; W Capital'!$D$16))*$C209*F$172</f>
        <v>#REF!</v>
      </c>
      <c r="G209" s="162" t="e">
        <f>((E150*(1-'5.Closing Stock &amp; W Capital'!$D$16))+(D150*'5.Closing Stock &amp; W Capital'!$D$16))*$C209*G$172</f>
        <v>#REF!</v>
      </c>
      <c r="H209" s="162" t="e">
        <f>((F150*(1-'5.Closing Stock &amp; W Capital'!$D$16))+(E150*'5.Closing Stock &amp; W Capital'!$D$16))*$C209*H$172</f>
        <v>#REF!</v>
      </c>
      <c r="I209" s="162" t="e">
        <f>((G150*(1-'5.Closing Stock &amp; W Capital'!$D$16))+(F150*'5.Closing Stock &amp; W Capital'!$D$16))*$C209*I$172</f>
        <v>#REF!</v>
      </c>
      <c r="J209" s="162" t="e">
        <f>((H150*(1-'5.Closing Stock &amp; W Capital'!$D$16))+(G150*'5.Closing Stock &amp; W Capital'!$D$16))*$C209*J$172</f>
        <v>#REF!</v>
      </c>
      <c r="K209" s="79"/>
      <c r="L209" s="79"/>
    </row>
    <row r="210" spans="1:12">
      <c r="A210" s="82" t="e">
        <f t="shared" si="34"/>
        <v>#REF!</v>
      </c>
      <c r="B210" s="80" t="s">
        <v>349</v>
      </c>
      <c r="C210" s="197"/>
      <c r="D210" s="162" t="e">
        <f>(B151*(1-'5.Closing Stock &amp; W Capital'!$D$16))*$C210*D$172</f>
        <v>#REF!</v>
      </c>
      <c r="E210" s="162" t="e">
        <f>((C151*(1-'5.Closing Stock &amp; W Capital'!$D$16))+(B151*'5.Closing Stock &amp; W Capital'!$D$16))*$C210*E$172</f>
        <v>#REF!</v>
      </c>
      <c r="F210" s="162" t="e">
        <f>((D151*(1-'5.Closing Stock &amp; W Capital'!$D$16))+(C151*'5.Closing Stock &amp; W Capital'!$D$16))*$C210*F$172</f>
        <v>#REF!</v>
      </c>
      <c r="G210" s="162" t="e">
        <f>((E151*(1-'5.Closing Stock &amp; W Capital'!$D$16))+(D151*'5.Closing Stock &amp; W Capital'!$D$16))*$C210*G$172</f>
        <v>#REF!</v>
      </c>
      <c r="H210" s="162" t="e">
        <f>((F151*(1-'5.Closing Stock &amp; W Capital'!$D$16))+(E151*'5.Closing Stock &amp; W Capital'!$D$16))*$C210*H$172</f>
        <v>#REF!</v>
      </c>
      <c r="I210" s="162" t="e">
        <f>((G151*(1-'5.Closing Stock &amp; W Capital'!$D$16))+(F151*'5.Closing Stock &amp; W Capital'!$D$16))*$C210*I$172</f>
        <v>#REF!</v>
      </c>
      <c r="J210" s="162" t="e">
        <f>((H151*(1-'5.Closing Stock &amp; W Capital'!$D$16))+(G151*'5.Closing Stock &amp; W Capital'!$D$16))*$C210*J$172</f>
        <v>#REF!</v>
      </c>
      <c r="K210" s="79"/>
      <c r="L210" s="79"/>
    </row>
    <row r="211" spans="1:12">
      <c r="A211" s="82" t="e">
        <f t="shared" si="34"/>
        <v>#REF!</v>
      </c>
      <c r="B211" s="80" t="s">
        <v>349</v>
      </c>
      <c r="C211" s="197"/>
      <c r="D211" s="162" t="e">
        <f>(B152*(1-'5.Closing Stock &amp; W Capital'!$D$16))*$C211*D$172</f>
        <v>#REF!</v>
      </c>
      <c r="E211" s="162" t="e">
        <f>((C152*(1-'5.Closing Stock &amp; W Capital'!$D$16))+(B152*'5.Closing Stock &amp; W Capital'!$D$16))*$C211*E$172</f>
        <v>#REF!</v>
      </c>
      <c r="F211" s="162" t="e">
        <f>((D152*(1-'5.Closing Stock &amp; W Capital'!$D$16))+(C152*'5.Closing Stock &amp; W Capital'!$D$16))*$C211*F$172</f>
        <v>#REF!</v>
      </c>
      <c r="G211" s="162" t="e">
        <f>((E152*(1-'5.Closing Stock &amp; W Capital'!$D$16))+(D152*'5.Closing Stock &amp; W Capital'!$D$16))*$C211*G$172</f>
        <v>#REF!</v>
      </c>
      <c r="H211" s="162" t="e">
        <f>((F152*(1-'5.Closing Stock &amp; W Capital'!$D$16))+(E152*'5.Closing Stock &amp; W Capital'!$D$16))*$C211*H$172</f>
        <v>#REF!</v>
      </c>
      <c r="I211" s="162" t="e">
        <f>((G152*(1-'5.Closing Stock &amp; W Capital'!$D$16))+(F152*'5.Closing Stock &amp; W Capital'!$D$16))*$C211*I$172</f>
        <v>#REF!</v>
      </c>
      <c r="J211" s="162" t="e">
        <f>((H152*(1-'5.Closing Stock &amp; W Capital'!$D$16))+(G152*'5.Closing Stock &amp; W Capital'!$D$16))*$C211*J$172</f>
        <v>#REF!</v>
      </c>
      <c r="K211" s="79"/>
      <c r="L211" s="79"/>
    </row>
    <row r="212" spans="1:12">
      <c r="A212" s="82" t="e">
        <f t="shared" si="34"/>
        <v>#REF!</v>
      </c>
      <c r="B212" s="80" t="s">
        <v>349</v>
      </c>
      <c r="C212" s="219">
        <v>2000</v>
      </c>
      <c r="D212" s="162" t="e">
        <f>(B153*(1-'5.Closing Stock &amp; W Capital'!$D$16))*$C212*D$172</f>
        <v>#REF!</v>
      </c>
      <c r="E212" s="162" t="e">
        <f>((C153*(1-'5.Closing Stock &amp; W Capital'!$D$16))+(B153*'5.Closing Stock &amp; W Capital'!$D$16))*$C212*E$172</f>
        <v>#REF!</v>
      </c>
      <c r="F212" s="162" t="e">
        <f>((D153*(1-'5.Closing Stock &amp; W Capital'!$D$16))+(C153*'5.Closing Stock &amp; W Capital'!$D$16))*$C212*F$172</f>
        <v>#REF!</v>
      </c>
      <c r="G212" s="162" t="e">
        <f>((E153*(1-'5.Closing Stock &amp; W Capital'!$D$16))+(D153*'5.Closing Stock &amp; W Capital'!$D$16))*$C212*G$172</f>
        <v>#REF!</v>
      </c>
      <c r="H212" s="162" t="e">
        <f>((F153*(1-'5.Closing Stock &amp; W Capital'!$D$16))+(E153*'5.Closing Stock &amp; W Capital'!$D$16))*$C212*H$172</f>
        <v>#REF!</v>
      </c>
      <c r="I212" s="162" t="e">
        <f>((G153*(1-'5.Closing Stock &amp; W Capital'!$D$16))+(F153*'5.Closing Stock &amp; W Capital'!$D$16))*$C212*I$172</f>
        <v>#REF!</v>
      </c>
      <c r="J212" s="162" t="e">
        <f>((H153*(1-'5.Closing Stock &amp; W Capital'!$D$16))+(G153*'5.Closing Stock &amp; W Capital'!$D$16))*$C212*J$172</f>
        <v>#REF!</v>
      </c>
      <c r="K212" s="79"/>
      <c r="L212" s="79"/>
    </row>
    <row r="213" spans="1:12">
      <c r="A213" s="82" t="e">
        <f t="shared" si="34"/>
        <v>#REF!</v>
      </c>
      <c r="B213" s="80" t="s">
        <v>349</v>
      </c>
      <c r="C213" s="219">
        <v>1000</v>
      </c>
      <c r="D213" s="162" t="e">
        <f>(B154*(1-'5.Closing Stock &amp; W Capital'!$D$16))*$C213*D$172</f>
        <v>#REF!</v>
      </c>
      <c r="E213" s="162" t="e">
        <f>((C154*(1-'5.Closing Stock &amp; W Capital'!$D$16))+(B154*'5.Closing Stock &amp; W Capital'!$D$16))*$C213*E$172</f>
        <v>#REF!</v>
      </c>
      <c r="F213" s="162" t="e">
        <f>((D154*(1-'5.Closing Stock &amp; W Capital'!$D$16))+(C154*'5.Closing Stock &amp; W Capital'!$D$16))*$C213*F$172</f>
        <v>#REF!</v>
      </c>
      <c r="G213" s="162" t="e">
        <f>((E154*(1-'5.Closing Stock &amp; W Capital'!$D$16))+(D154*'5.Closing Stock &amp; W Capital'!$D$16))*$C213*G$172</f>
        <v>#REF!</v>
      </c>
      <c r="H213" s="162" t="e">
        <f>((F154*(1-'5.Closing Stock &amp; W Capital'!$D$16))+(E154*'5.Closing Stock &amp; W Capital'!$D$16))*$C213*H$172</f>
        <v>#REF!</v>
      </c>
      <c r="I213" s="162" t="e">
        <f>((G154*(1-'5.Closing Stock &amp; W Capital'!$D$16))+(F154*'5.Closing Stock &amp; W Capital'!$D$16))*$C213*I$172</f>
        <v>#REF!</v>
      </c>
      <c r="J213" s="162" t="e">
        <f>((H154*(1-'5.Closing Stock &amp; W Capital'!$D$16))+(G154*'5.Closing Stock &amp; W Capital'!$D$16))*$C213*J$172</f>
        <v>#REF!</v>
      </c>
      <c r="K213" s="79"/>
      <c r="L213" s="79"/>
    </row>
    <row r="214" spans="1:12">
      <c r="A214" s="82" t="e">
        <f t="shared" si="34"/>
        <v>#REF!</v>
      </c>
      <c r="B214" s="80" t="s">
        <v>349</v>
      </c>
      <c r="C214" s="219">
        <v>1500</v>
      </c>
      <c r="D214" s="162" t="e">
        <f>(B155*(1-'5.Closing Stock &amp; W Capital'!$D$16))*$C214*D$172</f>
        <v>#REF!</v>
      </c>
      <c r="E214" s="162" t="e">
        <f>((C155*(1-'5.Closing Stock &amp; W Capital'!$D$16))+(B155*'5.Closing Stock &amp; W Capital'!$D$16))*$C214*E$172</f>
        <v>#REF!</v>
      </c>
      <c r="F214" s="162" t="e">
        <f>((D155*(1-'5.Closing Stock &amp; W Capital'!$D$16))+(C155*'5.Closing Stock &amp; W Capital'!$D$16))*$C214*F$172</f>
        <v>#REF!</v>
      </c>
      <c r="G214" s="162" t="e">
        <f>((E155*(1-'5.Closing Stock &amp; W Capital'!$D$16))+(D155*'5.Closing Stock &amp; W Capital'!$D$16))*$C214*G$172</f>
        <v>#REF!</v>
      </c>
      <c r="H214" s="162" t="e">
        <f>((F155*(1-'5.Closing Stock &amp; W Capital'!$D$16))+(E155*'5.Closing Stock &amp; W Capital'!$D$16))*$C214*H$172</f>
        <v>#REF!</v>
      </c>
      <c r="I214" s="162" t="e">
        <f>((G155*(1-'5.Closing Stock &amp; W Capital'!$D$16))+(F155*'5.Closing Stock &amp; W Capital'!$D$16))*$C214*I$172</f>
        <v>#REF!</v>
      </c>
      <c r="J214" s="162" t="e">
        <f>((H155*(1-'5.Closing Stock &amp; W Capital'!$D$16))+(G155*'5.Closing Stock &amp; W Capital'!$D$16))*$C214*J$172</f>
        <v>#REF!</v>
      </c>
      <c r="K214" s="79"/>
      <c r="L214" s="79"/>
    </row>
    <row r="215" spans="1:12">
      <c r="A215" s="82" t="e">
        <f t="shared" si="34"/>
        <v>#REF!</v>
      </c>
      <c r="B215" s="80" t="s">
        <v>349</v>
      </c>
      <c r="C215" s="219">
        <v>3000</v>
      </c>
      <c r="D215" s="162" t="e">
        <f>(B156*(1-'5.Closing Stock &amp; W Capital'!$D$16))*$C215*D$172</f>
        <v>#REF!</v>
      </c>
      <c r="E215" s="162" t="e">
        <f>((C156*(1-'5.Closing Stock &amp; W Capital'!$D$16))+(B156*'5.Closing Stock &amp; W Capital'!$D$16))*$C215*E$172</f>
        <v>#REF!</v>
      </c>
      <c r="F215" s="162" t="e">
        <f>((D156*(1-'5.Closing Stock &amp; W Capital'!$D$16))+(C156*'5.Closing Stock &amp; W Capital'!$D$16))*$C215*F$172</f>
        <v>#REF!</v>
      </c>
      <c r="G215" s="162" t="e">
        <f>((E156*(1-'5.Closing Stock &amp; W Capital'!$D$16))+(D156*'5.Closing Stock &amp; W Capital'!$D$16))*$C215*G$172</f>
        <v>#REF!</v>
      </c>
      <c r="H215" s="162" t="e">
        <f>((F156*(1-'5.Closing Stock &amp; W Capital'!$D$16))+(E156*'5.Closing Stock &amp; W Capital'!$D$16))*$C215*H$172</f>
        <v>#REF!</v>
      </c>
      <c r="I215" s="162" t="e">
        <f>((G156*(1-'5.Closing Stock &amp; W Capital'!$D$16))+(F156*'5.Closing Stock &amp; W Capital'!$D$16))*$C215*I$172</f>
        <v>#REF!</v>
      </c>
      <c r="J215" s="162" t="e">
        <f>((H156*(1-'5.Closing Stock &amp; W Capital'!$D$16))+(G156*'5.Closing Stock &amp; W Capital'!$D$16))*$C215*J$172</f>
        <v>#REF!</v>
      </c>
      <c r="K215" s="79"/>
      <c r="L215" s="79"/>
    </row>
    <row r="216" spans="1:12">
      <c r="A216" s="82" t="e">
        <f t="shared" si="34"/>
        <v>#REF!</v>
      </c>
      <c r="B216" s="80" t="s">
        <v>349</v>
      </c>
      <c r="C216" s="219">
        <v>2000</v>
      </c>
      <c r="D216" s="162" t="e">
        <f>(B157*(1-'5.Closing Stock &amp; W Capital'!$D$16))*$C216*D$172</f>
        <v>#REF!</v>
      </c>
      <c r="E216" s="162" t="e">
        <f>((C157*(1-'5.Closing Stock &amp; W Capital'!$D$16))+(B157*'5.Closing Stock &amp; W Capital'!$D$16))*$C216*E$172</f>
        <v>#REF!</v>
      </c>
      <c r="F216" s="162" t="e">
        <f>((D157*(1-'5.Closing Stock &amp; W Capital'!$D$16))+(C157*'5.Closing Stock &amp; W Capital'!$D$16))*$C216*F$172</f>
        <v>#REF!</v>
      </c>
      <c r="G216" s="162" t="e">
        <f>((E157*(1-'5.Closing Stock &amp; W Capital'!$D$16))+(D157*'5.Closing Stock &amp; W Capital'!$D$16))*$C216*G$172</f>
        <v>#REF!</v>
      </c>
      <c r="H216" s="162" t="e">
        <f>((F157*(1-'5.Closing Stock &amp; W Capital'!$D$16))+(E157*'5.Closing Stock &amp; W Capital'!$D$16))*$C216*H$172</f>
        <v>#REF!</v>
      </c>
      <c r="I216" s="162" t="e">
        <f>((G157*(1-'5.Closing Stock &amp; W Capital'!$D$16))+(F157*'5.Closing Stock &amp; W Capital'!$D$16))*$C216*I$172</f>
        <v>#REF!</v>
      </c>
      <c r="J216" s="162" t="e">
        <f>((H157*(1-'5.Closing Stock &amp; W Capital'!$D$16))+(G157*'5.Closing Stock &amp; W Capital'!$D$16))*$C216*J$172</f>
        <v>#REF!</v>
      </c>
      <c r="K216" s="79"/>
      <c r="L216" s="79"/>
    </row>
    <row r="217" spans="1:12">
      <c r="A217" s="82" t="e">
        <f t="shared" si="34"/>
        <v>#REF!</v>
      </c>
      <c r="B217" s="80" t="s">
        <v>349</v>
      </c>
      <c r="C217" s="219"/>
      <c r="D217" s="162" t="e">
        <f>(B158*(1-'5.Closing Stock &amp; W Capital'!$D$16))*$C217*D$172</f>
        <v>#REF!</v>
      </c>
      <c r="E217" s="162" t="e">
        <f>((C158*(1-'5.Closing Stock &amp; W Capital'!$D$16))+(B158*'5.Closing Stock &amp; W Capital'!$D$16))*$C217*E$172</f>
        <v>#REF!</v>
      </c>
      <c r="F217" s="162" t="e">
        <f>((D158*(1-'5.Closing Stock &amp; W Capital'!$D$16))+(C158*'5.Closing Stock &amp; W Capital'!$D$16))*$C217*F$172</f>
        <v>#REF!</v>
      </c>
      <c r="G217" s="162" t="e">
        <f>((E158*(1-'5.Closing Stock &amp; W Capital'!$D$16))+(D158*'5.Closing Stock &amp; W Capital'!$D$16))*$C217*G$172</f>
        <v>#REF!</v>
      </c>
      <c r="H217" s="162" t="e">
        <f>((F158*(1-'5.Closing Stock &amp; W Capital'!$D$16))+(E158*'5.Closing Stock &amp; W Capital'!$D$16))*$C217*H$172</f>
        <v>#REF!</v>
      </c>
      <c r="I217" s="162" t="e">
        <f>((G158*(1-'5.Closing Stock &amp; W Capital'!$D$16))+(F158*'5.Closing Stock &amp; W Capital'!$D$16))*$C217*I$172</f>
        <v>#REF!</v>
      </c>
      <c r="J217" s="162" t="e">
        <f>((H158*(1-'5.Closing Stock &amp; W Capital'!$D$16))+(G158*'5.Closing Stock &amp; W Capital'!$D$16))*$C217*J$172</f>
        <v>#REF!</v>
      </c>
      <c r="K217" s="79"/>
      <c r="L217" s="79"/>
    </row>
    <row r="218" spans="1:12">
      <c r="A218" s="82" t="e">
        <f t="shared" si="34"/>
        <v>#REF!</v>
      </c>
      <c r="B218" s="80" t="s">
        <v>349</v>
      </c>
      <c r="C218" s="219"/>
      <c r="D218" s="162" t="e">
        <f>(B159*(1-'5.Closing Stock &amp; W Capital'!$D$16))*$C218*D$172</f>
        <v>#REF!</v>
      </c>
      <c r="E218" s="162" t="e">
        <f>((C159*(1-'5.Closing Stock &amp; W Capital'!$D$16))+(B159*'5.Closing Stock &amp; W Capital'!$D$16))*$C218*E$172</f>
        <v>#REF!</v>
      </c>
      <c r="F218" s="162" t="e">
        <f>((D159*(1-'5.Closing Stock &amp; W Capital'!$D$16))+(C159*'5.Closing Stock &amp; W Capital'!$D$16))*$C218*F$172</f>
        <v>#REF!</v>
      </c>
      <c r="G218" s="162" t="e">
        <f>((E159*(1-'5.Closing Stock &amp; W Capital'!$D$16))+(D159*'5.Closing Stock &amp; W Capital'!$D$16))*$C218*G$172</f>
        <v>#REF!</v>
      </c>
      <c r="H218" s="162" t="e">
        <f>((F159*(1-'5.Closing Stock &amp; W Capital'!$D$16))+(E159*'5.Closing Stock &amp; W Capital'!$D$16))*$C218*H$172</f>
        <v>#REF!</v>
      </c>
      <c r="I218" s="162" t="e">
        <f>((G159*(1-'5.Closing Stock &amp; W Capital'!$D$16))+(F159*'5.Closing Stock &amp; W Capital'!$D$16))*$C218*I$172</f>
        <v>#REF!</v>
      </c>
      <c r="J218" s="162" t="e">
        <f>((H159*(1-'5.Closing Stock &amp; W Capital'!$D$16))+(G159*'5.Closing Stock &amp; W Capital'!$D$16))*$C218*J$172</f>
        <v>#REF!</v>
      </c>
      <c r="K218" s="79"/>
      <c r="L218" s="79"/>
    </row>
    <row r="219" spans="1:12">
      <c r="A219" s="82" t="e">
        <f t="shared" si="34"/>
        <v>#REF!</v>
      </c>
      <c r="B219" s="80" t="s">
        <v>349</v>
      </c>
      <c r="C219" s="219"/>
      <c r="D219" s="162" t="e">
        <f>(B160*(1-'5.Closing Stock &amp; W Capital'!$D$16))*$C219*D$172</f>
        <v>#REF!</v>
      </c>
      <c r="E219" s="162" t="e">
        <f>((C160*(1-'5.Closing Stock &amp; W Capital'!$D$16))+(B160*'5.Closing Stock &amp; W Capital'!$D$16))*$C219*E$172</f>
        <v>#REF!</v>
      </c>
      <c r="F219" s="162" t="e">
        <f>((D160*(1-'5.Closing Stock &amp; W Capital'!$D$16))+(C160*'5.Closing Stock &amp; W Capital'!$D$16))*$C219*F$172</f>
        <v>#REF!</v>
      </c>
      <c r="G219" s="162" t="e">
        <f>((E160*(1-'5.Closing Stock &amp; W Capital'!$D$16))+(D160*'5.Closing Stock &amp; W Capital'!$D$16))*$C219*G$172</f>
        <v>#REF!</v>
      </c>
      <c r="H219" s="162" t="e">
        <f>((F160*(1-'5.Closing Stock &amp; W Capital'!$D$16))+(E160*'5.Closing Stock &amp; W Capital'!$D$16))*$C219*H$172</f>
        <v>#REF!</v>
      </c>
      <c r="I219" s="162" t="e">
        <f>((G160*(1-'5.Closing Stock &amp; W Capital'!$D$16))+(F160*'5.Closing Stock &amp; W Capital'!$D$16))*$C219*I$172</f>
        <v>#REF!</v>
      </c>
      <c r="J219" s="162" t="e">
        <f>((H160*(1-'5.Closing Stock &amp; W Capital'!$D$16))+(G160*'5.Closing Stock &amp; W Capital'!$D$16))*$C219*J$172</f>
        <v>#REF!</v>
      </c>
      <c r="K219" s="79"/>
      <c r="L219" s="79"/>
    </row>
    <row r="220" spans="1:12">
      <c r="A220" s="82" t="e">
        <f t="shared" si="34"/>
        <v>#REF!</v>
      </c>
      <c r="B220" s="80" t="s">
        <v>349</v>
      </c>
      <c r="C220" s="219"/>
      <c r="D220" s="162" t="e">
        <f>(B161*(1-'5.Closing Stock &amp; W Capital'!$D$16))*$C220*D$172</f>
        <v>#REF!</v>
      </c>
      <c r="E220" s="162" t="e">
        <f>((C161*(1-'5.Closing Stock &amp; W Capital'!$D$16))+(B161*'5.Closing Stock &amp; W Capital'!$D$16))*$C220*E$172</f>
        <v>#REF!</v>
      </c>
      <c r="F220" s="162" t="e">
        <f>((D161*(1-'5.Closing Stock &amp; W Capital'!$D$16))+(C161*'5.Closing Stock &amp; W Capital'!$D$16))*$C220*F$172</f>
        <v>#REF!</v>
      </c>
      <c r="G220" s="162" t="e">
        <f>((E161*(1-'5.Closing Stock &amp; W Capital'!$D$16))+(D161*'5.Closing Stock &amp; W Capital'!$D$16))*$C220*G$172</f>
        <v>#REF!</v>
      </c>
      <c r="H220" s="162" t="e">
        <f>((F161*(1-'5.Closing Stock &amp; W Capital'!$D$16))+(E161*'5.Closing Stock &amp; W Capital'!$D$16))*$C220*H$172</f>
        <v>#REF!</v>
      </c>
      <c r="I220" s="162" t="e">
        <f>((G161*(1-'5.Closing Stock &amp; W Capital'!$D$16))+(F161*'5.Closing Stock &amp; W Capital'!$D$16))*$C220*I$172</f>
        <v>#REF!</v>
      </c>
      <c r="J220" s="162" t="e">
        <f>((H161*(1-'5.Closing Stock &amp; W Capital'!$D$16))+(G161*'5.Closing Stock &amp; W Capital'!$D$16))*$C220*J$172</f>
        <v>#REF!</v>
      </c>
      <c r="K220" s="79"/>
      <c r="L220" s="79"/>
    </row>
    <row r="221" spans="1:12">
      <c r="A221" s="82" t="e">
        <f t="shared" ref="A221:A223" si="35">A162</f>
        <v>#REF!</v>
      </c>
      <c r="B221" s="80" t="s">
        <v>349</v>
      </c>
      <c r="C221" s="219"/>
      <c r="D221" s="162">
        <f>(B162*(1-'5.Closing Stock &amp; W Capital'!$D$16))*$C221*D$172</f>
        <v>0</v>
      </c>
      <c r="E221" s="162">
        <f>((C162*(1-'5.Closing Stock &amp; W Capital'!$D$16))+(B162*'5.Closing Stock &amp; W Capital'!$D$16))*$C221*E$172</f>
        <v>0</v>
      </c>
      <c r="F221" s="162">
        <f>((D162*(1-'5.Closing Stock &amp; W Capital'!$D$16))+(C162*'5.Closing Stock &amp; W Capital'!$D$16))*$C221*F$172</f>
        <v>0</v>
      </c>
      <c r="G221" s="162">
        <f>((E162*(1-'5.Closing Stock &amp; W Capital'!$D$16))+(D162*'5.Closing Stock &amp; W Capital'!$D$16))*$C221*G$172</f>
        <v>0</v>
      </c>
      <c r="H221" s="162">
        <f>((F162*(1-'5.Closing Stock &amp; W Capital'!$D$16))+(E162*'5.Closing Stock &amp; W Capital'!$D$16))*$C221*H$172</f>
        <v>0</v>
      </c>
      <c r="I221" s="162">
        <f>((G162*(1-'5.Closing Stock &amp; W Capital'!$D$16))+(F162*'5.Closing Stock &amp; W Capital'!$D$16))*$C221*I$172</f>
        <v>0</v>
      </c>
      <c r="J221" s="162">
        <f>((H162*(1-'5.Closing Stock &amp; W Capital'!$D$16))+(G162*'5.Closing Stock &amp; W Capital'!$D$16))*$C221*J$172</f>
        <v>0</v>
      </c>
      <c r="K221" s="79"/>
      <c r="L221" s="79"/>
    </row>
    <row r="222" spans="1:12">
      <c r="A222" s="82" t="e">
        <f t="shared" si="35"/>
        <v>#REF!</v>
      </c>
      <c r="B222" s="80" t="s">
        <v>349</v>
      </c>
      <c r="C222" s="219"/>
      <c r="D222" s="162">
        <f>(B163*(1-'5.Closing Stock &amp; W Capital'!$D$16))*$C222*D$172</f>
        <v>0</v>
      </c>
      <c r="E222" s="162">
        <f>((C163*(1-'5.Closing Stock &amp; W Capital'!$D$16))+(B163*'5.Closing Stock &amp; W Capital'!$D$16))*$C222*E$172</f>
        <v>0</v>
      </c>
      <c r="F222" s="162">
        <f>((D163*(1-'5.Closing Stock &amp; W Capital'!$D$16))+(C163*'5.Closing Stock &amp; W Capital'!$D$16))*$C222*F$172</f>
        <v>0</v>
      </c>
      <c r="G222" s="162">
        <f>((E163*(1-'5.Closing Stock &amp; W Capital'!$D$16))+(D163*'5.Closing Stock &amp; W Capital'!$D$16))*$C222*G$172</f>
        <v>0</v>
      </c>
      <c r="H222" s="162">
        <f>((F163*(1-'5.Closing Stock &amp; W Capital'!$D$16))+(E163*'5.Closing Stock &amp; W Capital'!$D$16))*$C222*H$172</f>
        <v>0</v>
      </c>
      <c r="I222" s="162">
        <f>((G163*(1-'5.Closing Stock &amp; W Capital'!$D$16))+(F163*'5.Closing Stock &amp; W Capital'!$D$16))*$C222*I$172</f>
        <v>0</v>
      </c>
      <c r="J222" s="162">
        <f>((H163*(1-'5.Closing Stock &amp; W Capital'!$D$16))+(G163*'5.Closing Stock &amp; W Capital'!$D$16))*$C222*J$172</f>
        <v>0</v>
      </c>
      <c r="K222" s="79"/>
      <c r="L222" s="79"/>
    </row>
    <row r="223" spans="1:12">
      <c r="A223" s="82" t="e">
        <f t="shared" si="35"/>
        <v>#REF!</v>
      </c>
      <c r="B223" s="80" t="s">
        <v>349</v>
      </c>
      <c r="C223" s="219"/>
      <c r="D223" s="162">
        <f>(B164*(1-'5.Closing Stock &amp; W Capital'!$D$16))*$C223*D$172</f>
        <v>0</v>
      </c>
      <c r="E223" s="162">
        <f>((C164*(1-'5.Closing Stock &amp; W Capital'!$D$16))+(B164*'5.Closing Stock &amp; W Capital'!$D$16))*$C223*E$172</f>
        <v>0</v>
      </c>
      <c r="F223" s="162">
        <f>((D164*(1-'5.Closing Stock &amp; W Capital'!$D$16))+(C164*'5.Closing Stock &amp; W Capital'!$D$16))*$C223*F$172</f>
        <v>0</v>
      </c>
      <c r="G223" s="162">
        <f>((E164*(1-'5.Closing Stock &amp; W Capital'!$D$16))+(D164*'5.Closing Stock &amp; W Capital'!$D$16))*$C223*G$172</f>
        <v>0</v>
      </c>
      <c r="H223" s="162">
        <f>((F164*(1-'5.Closing Stock &amp; W Capital'!$D$16))+(E164*'5.Closing Stock &amp; W Capital'!$D$16))*$C223*H$172</f>
        <v>0</v>
      </c>
      <c r="I223" s="162">
        <f>((G164*(1-'5.Closing Stock &amp; W Capital'!$D$16))+(F164*'5.Closing Stock &amp; W Capital'!$D$16))*$C223*I$172</f>
        <v>0</v>
      </c>
      <c r="J223" s="162">
        <f>((H164*(1-'5.Closing Stock &amp; W Capital'!$D$16))+(G164*'5.Closing Stock &amp; W Capital'!$D$16))*$C223*J$172</f>
        <v>0</v>
      </c>
      <c r="K223" s="79"/>
      <c r="L223" s="79"/>
    </row>
    <row r="224" spans="1:12">
      <c r="A224" s="82" t="e">
        <f t="shared" ref="A224:A227" si="36">A165</f>
        <v>#REF!</v>
      </c>
      <c r="B224" s="80" t="s">
        <v>349</v>
      </c>
      <c r="C224" s="219">
        <v>5000</v>
      </c>
      <c r="D224" s="162" t="e">
        <f>(B165*(1-'5.Closing Stock &amp; W Capital'!$D$16))*$C224*D$172</f>
        <v>#REF!</v>
      </c>
      <c r="E224" s="162" t="e">
        <f>((C165*(1-'5.Closing Stock &amp; W Capital'!$D$16))+(B165*'5.Closing Stock &amp; W Capital'!$D$16))*$C224*E$172</f>
        <v>#REF!</v>
      </c>
      <c r="F224" s="162" t="e">
        <f>((D165*(1-'5.Closing Stock &amp; W Capital'!$D$16))+(C165*'5.Closing Stock &amp; W Capital'!$D$16))*$C224*F$172</f>
        <v>#REF!</v>
      </c>
      <c r="G224" s="162" t="e">
        <f>((E165*(1-'5.Closing Stock &amp; W Capital'!$D$16))+(D165*'5.Closing Stock &amp; W Capital'!$D$16))*$C224*G$172</f>
        <v>#REF!</v>
      </c>
      <c r="H224" s="162" t="e">
        <f>((F165*(1-'5.Closing Stock &amp; W Capital'!$D$16))+(E165*'5.Closing Stock &amp; W Capital'!$D$16))*$C224*H$172</f>
        <v>#REF!</v>
      </c>
      <c r="I224" s="162" t="e">
        <f>((G165*(1-'5.Closing Stock &amp; W Capital'!$D$16))+(F165*'5.Closing Stock &amp; W Capital'!$D$16))*$C224*I$172</f>
        <v>#REF!</v>
      </c>
      <c r="J224" s="162" t="e">
        <f>((H165*(1-'5.Closing Stock &amp; W Capital'!$D$16))+(G165*'5.Closing Stock &amp; W Capital'!$D$16))*$C224*J$172</f>
        <v>#REF!</v>
      </c>
      <c r="K224" s="79"/>
      <c r="L224" s="79"/>
    </row>
    <row r="225" spans="1:12">
      <c r="A225" s="82" t="e">
        <f t="shared" si="36"/>
        <v>#REF!</v>
      </c>
      <c r="B225" s="80" t="s">
        <v>349</v>
      </c>
      <c r="C225" s="219"/>
      <c r="D225" s="162" t="e">
        <f>(B166*(1-'5.Closing Stock &amp; W Capital'!$D$16))*$C225*D$172</f>
        <v>#REF!</v>
      </c>
      <c r="E225" s="162" t="e">
        <f>((C166*(1-'5.Closing Stock &amp; W Capital'!$D$16))+(B166*'5.Closing Stock &amp; W Capital'!$D$16))*$C225*E$172</f>
        <v>#REF!</v>
      </c>
      <c r="F225" s="162" t="e">
        <f>((D166*(1-'5.Closing Stock &amp; W Capital'!$D$16))+(C166*'5.Closing Stock &amp; W Capital'!$D$16))*$C225*F$172</f>
        <v>#REF!</v>
      </c>
      <c r="G225" s="162" t="e">
        <f>((E166*(1-'5.Closing Stock &amp; W Capital'!$D$16))+(D166*'5.Closing Stock &amp; W Capital'!$D$16))*$C225*G$172</f>
        <v>#REF!</v>
      </c>
      <c r="H225" s="162" t="e">
        <f>((F166*(1-'5.Closing Stock &amp; W Capital'!$D$16))+(E166*'5.Closing Stock &amp; W Capital'!$D$16))*$C225*H$172</f>
        <v>#REF!</v>
      </c>
      <c r="I225" s="162" t="e">
        <f>((G166*(1-'5.Closing Stock &amp; W Capital'!$D$16))+(F166*'5.Closing Stock &amp; W Capital'!$D$16))*$C225*I$172</f>
        <v>#REF!</v>
      </c>
      <c r="J225" s="162" t="e">
        <f>((H166*(1-'5.Closing Stock &amp; W Capital'!$D$16))+(G166*'5.Closing Stock &amp; W Capital'!$D$16))*$C225*J$172</f>
        <v>#REF!</v>
      </c>
      <c r="K225" s="79"/>
      <c r="L225" s="79"/>
    </row>
    <row r="226" spans="1:12">
      <c r="A226" s="82" t="e">
        <f t="shared" si="36"/>
        <v>#REF!</v>
      </c>
      <c r="B226" s="80" t="s">
        <v>349</v>
      </c>
      <c r="C226" s="219"/>
      <c r="D226" s="162" t="e">
        <f>(B167*(1-'5.Closing Stock &amp; W Capital'!$D$16))*$C226*D$172</f>
        <v>#REF!</v>
      </c>
      <c r="E226" s="162" t="e">
        <f>((C167*(1-'5.Closing Stock &amp; W Capital'!$D$16))+(B167*'5.Closing Stock &amp; W Capital'!$D$16))*$C226*E$172</f>
        <v>#REF!</v>
      </c>
      <c r="F226" s="162" t="e">
        <f>((D167*(1-'5.Closing Stock &amp; W Capital'!$D$16))+(C167*'5.Closing Stock &amp; W Capital'!$D$16))*$C226*F$172</f>
        <v>#REF!</v>
      </c>
      <c r="G226" s="162" t="e">
        <f>((E167*(1-'5.Closing Stock &amp; W Capital'!$D$16))+(D167*'5.Closing Stock &amp; W Capital'!$D$16))*$C226*G$172</f>
        <v>#REF!</v>
      </c>
      <c r="H226" s="162" t="e">
        <f>((F167*(1-'5.Closing Stock &amp; W Capital'!$D$16))+(E167*'5.Closing Stock &amp; W Capital'!$D$16))*$C226*H$172</f>
        <v>#REF!</v>
      </c>
      <c r="I226" s="162" t="e">
        <f>((G167*(1-'5.Closing Stock &amp; W Capital'!$D$16))+(F167*'5.Closing Stock &amp; W Capital'!$D$16))*$C226*I$172</f>
        <v>#REF!</v>
      </c>
      <c r="J226" s="162" t="e">
        <f>((H167*(1-'5.Closing Stock &amp; W Capital'!$D$16))+(G167*'5.Closing Stock &amp; W Capital'!$D$16))*$C226*J$172</f>
        <v>#REF!</v>
      </c>
      <c r="K226" s="79"/>
      <c r="L226" s="79"/>
    </row>
    <row r="227" spans="1:12">
      <c r="A227" s="82" t="e">
        <f t="shared" si="36"/>
        <v>#REF!</v>
      </c>
      <c r="B227" s="80" t="s">
        <v>349</v>
      </c>
      <c r="C227" s="219"/>
      <c r="D227" s="162" t="e">
        <f>(B168*(1-'5.Closing Stock &amp; W Capital'!$D$16))*$C227*D$172</f>
        <v>#REF!</v>
      </c>
      <c r="E227" s="162" t="e">
        <f>((C168*(1-'5.Closing Stock &amp; W Capital'!$D$16))+(B168*'5.Closing Stock &amp; W Capital'!$D$16))*$C227*E$172</f>
        <v>#REF!</v>
      </c>
      <c r="F227" s="162" t="e">
        <f>((D168*(1-'5.Closing Stock &amp; W Capital'!$D$16))+(C168*'5.Closing Stock &amp; W Capital'!$D$16))*$C227*F$172</f>
        <v>#REF!</v>
      </c>
      <c r="G227" s="162" t="e">
        <f>((E168*(1-'5.Closing Stock &amp; W Capital'!$D$16))+(D168*'5.Closing Stock &amp; W Capital'!$D$16))*$C227*G$172</f>
        <v>#REF!</v>
      </c>
      <c r="H227" s="162" t="e">
        <f>((F168*(1-'5.Closing Stock &amp; W Capital'!$D$16))+(E168*'5.Closing Stock &amp; W Capital'!$D$16))*$C227*H$172</f>
        <v>#REF!</v>
      </c>
      <c r="I227" s="162" t="e">
        <f>((G168*(1-'5.Closing Stock &amp; W Capital'!$D$16))+(F168*'5.Closing Stock &amp; W Capital'!$D$16))*$C227*I$172</f>
        <v>#REF!</v>
      </c>
      <c r="J227" s="162" t="e">
        <f>((H168*(1-'5.Closing Stock &amp; W Capital'!$D$16))+(G168*'5.Closing Stock &amp; W Capital'!$D$16))*$C227*J$172</f>
        <v>#REF!</v>
      </c>
      <c r="K227" s="79"/>
      <c r="L227" s="79"/>
    </row>
    <row r="228" spans="1:12">
      <c r="A228" s="82"/>
      <c r="B228" s="82"/>
      <c r="C228" s="82"/>
      <c r="D228" s="80"/>
      <c r="E228" s="80"/>
      <c r="F228" s="80"/>
      <c r="G228" s="80"/>
      <c r="H228" s="80"/>
      <c r="I228" s="80"/>
      <c r="J228" s="80"/>
      <c r="K228" s="79"/>
      <c r="L228" s="79"/>
    </row>
    <row r="229" spans="1:12">
      <c r="A229" s="82" t="s">
        <v>138</v>
      </c>
      <c r="B229" s="82"/>
      <c r="C229" s="82"/>
      <c r="D229" s="164" t="e">
        <f t="shared" ref="D229:J229" si="37">SUM(D178:D228)</f>
        <v>#REF!</v>
      </c>
      <c r="E229" s="164" t="e">
        <f t="shared" si="37"/>
        <v>#REF!</v>
      </c>
      <c r="F229" s="164" t="e">
        <f t="shared" si="37"/>
        <v>#REF!</v>
      </c>
      <c r="G229" s="164" t="e">
        <f t="shared" si="37"/>
        <v>#REF!</v>
      </c>
      <c r="H229" s="164" t="e">
        <f t="shared" si="37"/>
        <v>#REF!</v>
      </c>
      <c r="I229" s="164" t="e">
        <f t="shared" si="37"/>
        <v>#REF!</v>
      </c>
      <c r="J229" s="164" t="e">
        <f t="shared" si="37"/>
        <v>#REF!</v>
      </c>
      <c r="K229" s="79"/>
      <c r="L229" s="79"/>
    </row>
    <row r="230" spans="1:12">
      <c r="A230" s="80"/>
      <c r="B230" s="80"/>
      <c r="C230" s="80"/>
      <c r="D230" s="80"/>
      <c r="E230" s="80"/>
      <c r="F230" s="80"/>
      <c r="G230" s="80"/>
      <c r="H230" s="80"/>
      <c r="I230" s="80"/>
      <c r="J230" s="80"/>
      <c r="K230" s="79"/>
      <c r="L230" s="79"/>
    </row>
    <row r="231" spans="1:12">
      <c r="A231" s="82" t="s">
        <v>137</v>
      </c>
      <c r="B231" s="82"/>
      <c r="C231" s="82"/>
      <c r="D231" s="80"/>
      <c r="E231" s="80"/>
      <c r="F231" s="80"/>
      <c r="G231" s="80"/>
      <c r="H231" s="80"/>
      <c r="I231" s="80"/>
      <c r="J231" s="80"/>
      <c r="K231" s="79"/>
      <c r="L231" s="79"/>
    </row>
    <row r="232" spans="1:12">
      <c r="A232" s="82" t="s">
        <v>301</v>
      </c>
      <c r="B232" s="82"/>
      <c r="C232" s="80"/>
      <c r="D232" s="80"/>
      <c r="E232" s="80"/>
      <c r="F232" s="80"/>
      <c r="G232" s="80"/>
      <c r="H232" s="80"/>
      <c r="I232" s="80"/>
      <c r="J232" s="80"/>
      <c r="K232" s="79"/>
      <c r="L232" s="79"/>
    </row>
    <row r="233" spans="1:12">
      <c r="A233" s="80" t="e">
        <f t="shared" ref="A233:A254" si="38">A178</f>
        <v>#REF!</v>
      </c>
      <c r="B233" s="80" t="s">
        <v>349</v>
      </c>
      <c r="C233" s="215">
        <v>3800</v>
      </c>
      <c r="D233" s="81" t="e">
        <f>B68*$C$233*D$172</f>
        <v>#REF!</v>
      </c>
      <c r="E233" s="81" t="e">
        <f>C68*$C$233*E$172</f>
        <v>#REF!</v>
      </c>
      <c r="F233" s="81" t="e">
        <f>D68*$C$233*F172</f>
        <v>#REF!</v>
      </c>
      <c r="G233" s="81" t="e">
        <f>E68*$C$233*G172</f>
        <v>#REF!</v>
      </c>
      <c r="H233" s="81" t="e">
        <f>F68*$C$233*H172</f>
        <v>#REF!</v>
      </c>
      <c r="I233" s="81" t="e">
        <f>G68*$C$233*I172</f>
        <v>#REF!</v>
      </c>
      <c r="J233" s="81" t="e">
        <f>H68*$C$233*J172</f>
        <v>#REF!</v>
      </c>
      <c r="K233" s="79"/>
      <c r="L233" s="79"/>
    </row>
    <row r="234" spans="1:12">
      <c r="A234" s="80" t="e">
        <f t="shared" si="38"/>
        <v>#REF!</v>
      </c>
      <c r="B234" s="80" t="s">
        <v>349</v>
      </c>
      <c r="C234" s="215">
        <v>5800</v>
      </c>
      <c r="D234" s="81" t="e">
        <f>B69*$C$234*D$172</f>
        <v>#REF!</v>
      </c>
      <c r="E234" s="81" t="e">
        <f t="shared" ref="E234:J234" si="39">C69*$C$234*E172</f>
        <v>#REF!</v>
      </c>
      <c r="F234" s="81" t="e">
        <f t="shared" si="39"/>
        <v>#REF!</v>
      </c>
      <c r="G234" s="81" t="e">
        <f t="shared" si="39"/>
        <v>#REF!</v>
      </c>
      <c r="H234" s="81" t="e">
        <f t="shared" si="39"/>
        <v>#REF!</v>
      </c>
      <c r="I234" s="81" t="e">
        <f t="shared" si="39"/>
        <v>#REF!</v>
      </c>
      <c r="J234" s="81" t="e">
        <f t="shared" si="39"/>
        <v>#REF!</v>
      </c>
      <c r="K234" s="79"/>
      <c r="L234" s="79"/>
    </row>
    <row r="235" spans="1:12">
      <c r="A235" s="80" t="e">
        <f t="shared" si="38"/>
        <v>#REF!</v>
      </c>
      <c r="B235" s="80" t="s">
        <v>349</v>
      </c>
      <c r="C235" s="215"/>
      <c r="D235" s="81" t="e">
        <f>B70*$C$235*D$172</f>
        <v>#REF!</v>
      </c>
      <c r="E235" s="81" t="e">
        <f t="shared" ref="E235:J235" si="40">C70*$C$235*E172</f>
        <v>#REF!</v>
      </c>
      <c r="F235" s="81" t="e">
        <f t="shared" si="40"/>
        <v>#REF!</v>
      </c>
      <c r="G235" s="81" t="e">
        <f t="shared" si="40"/>
        <v>#REF!</v>
      </c>
      <c r="H235" s="81" t="e">
        <f t="shared" si="40"/>
        <v>#REF!</v>
      </c>
      <c r="I235" s="81" t="e">
        <f t="shared" si="40"/>
        <v>#REF!</v>
      </c>
      <c r="J235" s="81" t="e">
        <f t="shared" si="40"/>
        <v>#REF!</v>
      </c>
      <c r="K235" s="79"/>
      <c r="L235" s="79"/>
    </row>
    <row r="236" spans="1:12">
      <c r="A236" s="80" t="e">
        <f t="shared" si="38"/>
        <v>#REF!</v>
      </c>
      <c r="B236" s="80" t="s">
        <v>349</v>
      </c>
      <c r="C236" s="215">
        <v>5800</v>
      </c>
      <c r="D236" s="81" t="e">
        <f t="shared" ref="D236:J236" si="41">B71*$C$236*D$172</f>
        <v>#REF!</v>
      </c>
      <c r="E236" s="81" t="e">
        <f t="shared" si="41"/>
        <v>#REF!</v>
      </c>
      <c r="F236" s="81" t="e">
        <f t="shared" si="41"/>
        <v>#REF!</v>
      </c>
      <c r="G236" s="81" t="e">
        <f t="shared" si="41"/>
        <v>#REF!</v>
      </c>
      <c r="H236" s="81" t="e">
        <f t="shared" si="41"/>
        <v>#REF!</v>
      </c>
      <c r="I236" s="81" t="e">
        <f t="shared" si="41"/>
        <v>#REF!</v>
      </c>
      <c r="J236" s="81" t="e">
        <f t="shared" si="41"/>
        <v>#REF!</v>
      </c>
      <c r="K236" s="79"/>
      <c r="L236" s="79"/>
    </row>
    <row r="237" spans="1:12">
      <c r="A237" s="80" t="e">
        <f t="shared" si="38"/>
        <v>#REF!</v>
      </c>
      <c r="B237" s="80" t="s">
        <v>349</v>
      </c>
      <c r="C237" s="215"/>
      <c r="D237" s="81" t="e">
        <f t="shared" ref="D237:J237" si="42">B72*$C$237*D$172</f>
        <v>#REF!</v>
      </c>
      <c r="E237" s="81" t="e">
        <f t="shared" si="42"/>
        <v>#REF!</v>
      </c>
      <c r="F237" s="81" t="e">
        <f t="shared" si="42"/>
        <v>#REF!</v>
      </c>
      <c r="G237" s="81" t="e">
        <f t="shared" si="42"/>
        <v>#REF!</v>
      </c>
      <c r="H237" s="81" t="e">
        <f t="shared" si="42"/>
        <v>#REF!</v>
      </c>
      <c r="I237" s="81" t="e">
        <f t="shared" si="42"/>
        <v>#REF!</v>
      </c>
      <c r="J237" s="81" t="e">
        <f t="shared" si="42"/>
        <v>#REF!</v>
      </c>
      <c r="K237" s="79"/>
      <c r="L237" s="79"/>
    </row>
    <row r="238" spans="1:12">
      <c r="A238" s="80" t="e">
        <f t="shared" si="38"/>
        <v>#REF!</v>
      </c>
      <c r="B238" s="80" t="s">
        <v>349</v>
      </c>
      <c r="C238" s="215">
        <v>6300</v>
      </c>
      <c r="D238" s="81" t="e">
        <f t="shared" ref="D238:J238" si="43">B73*$C$238*D$172</f>
        <v>#REF!</v>
      </c>
      <c r="E238" s="81" t="e">
        <f t="shared" si="43"/>
        <v>#REF!</v>
      </c>
      <c r="F238" s="81" t="e">
        <f t="shared" si="43"/>
        <v>#REF!</v>
      </c>
      <c r="G238" s="81" t="e">
        <f t="shared" si="43"/>
        <v>#REF!</v>
      </c>
      <c r="H238" s="81" t="e">
        <f t="shared" si="43"/>
        <v>#REF!</v>
      </c>
      <c r="I238" s="81" t="e">
        <f t="shared" si="43"/>
        <v>#REF!</v>
      </c>
      <c r="J238" s="81" t="e">
        <f t="shared" si="43"/>
        <v>#REF!</v>
      </c>
      <c r="K238" s="79"/>
      <c r="L238" s="79"/>
    </row>
    <row r="239" spans="1:12">
      <c r="A239" s="80" t="e">
        <f t="shared" si="38"/>
        <v>#REF!</v>
      </c>
      <c r="B239" s="80" t="s">
        <v>349</v>
      </c>
      <c r="C239" s="215">
        <v>1800</v>
      </c>
      <c r="D239" s="81" t="e">
        <f t="shared" ref="D239:J239" si="44">B74*$C$239*D$172</f>
        <v>#REF!</v>
      </c>
      <c r="E239" s="81" t="e">
        <f t="shared" si="44"/>
        <v>#REF!</v>
      </c>
      <c r="F239" s="81" t="e">
        <f t="shared" si="44"/>
        <v>#REF!</v>
      </c>
      <c r="G239" s="81" t="e">
        <f t="shared" si="44"/>
        <v>#REF!</v>
      </c>
      <c r="H239" s="81" t="e">
        <f t="shared" si="44"/>
        <v>#REF!</v>
      </c>
      <c r="I239" s="81" t="e">
        <f t="shared" si="44"/>
        <v>#REF!</v>
      </c>
      <c r="J239" s="81" t="e">
        <f t="shared" si="44"/>
        <v>#REF!</v>
      </c>
      <c r="K239" s="79"/>
      <c r="L239" s="79"/>
    </row>
    <row r="240" spans="1:12">
      <c r="A240" s="80" t="e">
        <f t="shared" si="38"/>
        <v>#REF!</v>
      </c>
      <c r="B240" s="80" t="s">
        <v>349</v>
      </c>
      <c r="C240" s="215"/>
      <c r="D240" s="81" t="e">
        <f t="shared" ref="D240:J240" si="45">B75*$C$240*D$172</f>
        <v>#REF!</v>
      </c>
      <c r="E240" s="81" t="e">
        <f t="shared" si="45"/>
        <v>#REF!</v>
      </c>
      <c r="F240" s="81" t="e">
        <f t="shared" si="45"/>
        <v>#REF!</v>
      </c>
      <c r="G240" s="81" t="e">
        <f t="shared" si="45"/>
        <v>#REF!</v>
      </c>
      <c r="H240" s="81" t="e">
        <f t="shared" si="45"/>
        <v>#REF!</v>
      </c>
      <c r="I240" s="81" t="e">
        <f t="shared" si="45"/>
        <v>#REF!</v>
      </c>
      <c r="J240" s="81" t="e">
        <f t="shared" si="45"/>
        <v>#REF!</v>
      </c>
      <c r="K240" s="79"/>
      <c r="L240" s="79"/>
    </row>
    <row r="241" spans="1:12">
      <c r="A241" s="80" t="e">
        <f t="shared" si="38"/>
        <v>#REF!</v>
      </c>
      <c r="B241" s="80" t="s">
        <v>349</v>
      </c>
      <c r="C241" s="215"/>
      <c r="D241" s="81" t="e">
        <f t="shared" ref="D241:J241" si="46">B76*$C$241*D$172</f>
        <v>#REF!</v>
      </c>
      <c r="E241" s="81" t="e">
        <f t="shared" si="46"/>
        <v>#REF!</v>
      </c>
      <c r="F241" s="81" t="e">
        <f t="shared" si="46"/>
        <v>#REF!</v>
      </c>
      <c r="G241" s="81" t="e">
        <f t="shared" si="46"/>
        <v>#REF!</v>
      </c>
      <c r="H241" s="81" t="e">
        <f t="shared" si="46"/>
        <v>#REF!</v>
      </c>
      <c r="I241" s="81" t="e">
        <f t="shared" si="46"/>
        <v>#REF!</v>
      </c>
      <c r="J241" s="81" t="e">
        <f t="shared" si="46"/>
        <v>#REF!</v>
      </c>
      <c r="K241" s="79"/>
      <c r="L241" s="79"/>
    </row>
    <row r="242" spans="1:12">
      <c r="A242" s="80" t="e">
        <f t="shared" si="38"/>
        <v>#REF!</v>
      </c>
      <c r="B242" s="80" t="s">
        <v>349</v>
      </c>
      <c r="C242" s="215"/>
      <c r="D242" s="81" t="e">
        <f t="shared" ref="D242:J242" si="47">B77*$C$242*D$172</f>
        <v>#REF!</v>
      </c>
      <c r="E242" s="81" t="e">
        <f t="shared" si="47"/>
        <v>#REF!</v>
      </c>
      <c r="F242" s="81" t="e">
        <f t="shared" si="47"/>
        <v>#REF!</v>
      </c>
      <c r="G242" s="81" t="e">
        <f t="shared" si="47"/>
        <v>#REF!</v>
      </c>
      <c r="H242" s="81" t="e">
        <f t="shared" si="47"/>
        <v>#REF!</v>
      </c>
      <c r="I242" s="81" t="e">
        <f t="shared" si="47"/>
        <v>#REF!</v>
      </c>
      <c r="J242" s="81" t="e">
        <f t="shared" si="47"/>
        <v>#REF!</v>
      </c>
      <c r="K242" s="79"/>
      <c r="L242" s="79"/>
    </row>
    <row r="243" spans="1:12">
      <c r="A243" s="80" t="e">
        <f t="shared" si="38"/>
        <v>#REF!</v>
      </c>
      <c r="B243" s="80" t="s">
        <v>349</v>
      </c>
      <c r="C243" s="215">
        <v>4800</v>
      </c>
      <c r="D243" s="81" t="e">
        <f t="shared" ref="D243:J243" si="48">B78*$C$243*D$172</f>
        <v>#REF!</v>
      </c>
      <c r="E243" s="81" t="e">
        <f t="shared" si="48"/>
        <v>#REF!</v>
      </c>
      <c r="F243" s="81" t="e">
        <f t="shared" si="48"/>
        <v>#REF!</v>
      </c>
      <c r="G243" s="81" t="e">
        <f t="shared" si="48"/>
        <v>#REF!</v>
      </c>
      <c r="H243" s="81" t="e">
        <f t="shared" si="48"/>
        <v>#REF!</v>
      </c>
      <c r="I243" s="81" t="e">
        <f t="shared" si="48"/>
        <v>#REF!</v>
      </c>
      <c r="J243" s="81" t="e">
        <f t="shared" si="48"/>
        <v>#REF!</v>
      </c>
      <c r="K243" s="79"/>
      <c r="L243" s="79"/>
    </row>
    <row r="244" spans="1:12">
      <c r="A244" s="80" t="e">
        <f t="shared" si="38"/>
        <v>#REF!</v>
      </c>
      <c r="B244" s="80" t="s">
        <v>349</v>
      </c>
      <c r="C244" s="215"/>
      <c r="D244" s="81" t="e">
        <f t="shared" ref="D244:J244" si="49">B79*$C$244*D$172</f>
        <v>#REF!</v>
      </c>
      <c r="E244" s="81" t="e">
        <f t="shared" si="49"/>
        <v>#REF!</v>
      </c>
      <c r="F244" s="81" t="e">
        <f t="shared" si="49"/>
        <v>#REF!</v>
      </c>
      <c r="G244" s="81" t="e">
        <f t="shared" si="49"/>
        <v>#REF!</v>
      </c>
      <c r="H244" s="81" t="e">
        <f t="shared" si="49"/>
        <v>#REF!</v>
      </c>
      <c r="I244" s="81" t="e">
        <f t="shared" si="49"/>
        <v>#REF!</v>
      </c>
      <c r="J244" s="81" t="e">
        <f t="shared" si="49"/>
        <v>#REF!</v>
      </c>
      <c r="K244" s="79"/>
      <c r="L244" s="79"/>
    </row>
    <row r="245" spans="1:12">
      <c r="A245" s="80" t="e">
        <f t="shared" si="38"/>
        <v>#REF!</v>
      </c>
      <c r="B245" s="80" t="s">
        <v>349</v>
      </c>
      <c r="C245" s="215"/>
      <c r="D245" s="81" t="e">
        <f t="shared" ref="D245:J245" si="50">B80*$C$245*D$172</f>
        <v>#REF!</v>
      </c>
      <c r="E245" s="81" t="e">
        <f t="shared" si="50"/>
        <v>#REF!</v>
      </c>
      <c r="F245" s="81" t="e">
        <f t="shared" si="50"/>
        <v>#REF!</v>
      </c>
      <c r="G245" s="81" t="e">
        <f t="shared" si="50"/>
        <v>#REF!</v>
      </c>
      <c r="H245" s="81" t="e">
        <f t="shared" si="50"/>
        <v>#REF!</v>
      </c>
      <c r="I245" s="81" t="e">
        <f t="shared" si="50"/>
        <v>#REF!</v>
      </c>
      <c r="J245" s="81" t="e">
        <f t="shared" si="50"/>
        <v>#REF!</v>
      </c>
      <c r="K245" s="79"/>
      <c r="L245" s="79"/>
    </row>
    <row r="246" spans="1:12">
      <c r="A246" s="80" t="e">
        <f t="shared" si="38"/>
        <v>#REF!</v>
      </c>
      <c r="B246" s="80" t="s">
        <v>349</v>
      </c>
      <c r="C246" s="215"/>
      <c r="D246" s="81" t="e">
        <f t="shared" ref="D246:J246" si="51">B81*$C$246*D$172</f>
        <v>#REF!</v>
      </c>
      <c r="E246" s="81" t="e">
        <f t="shared" si="51"/>
        <v>#REF!</v>
      </c>
      <c r="F246" s="81" t="e">
        <f t="shared" si="51"/>
        <v>#REF!</v>
      </c>
      <c r="G246" s="81" t="e">
        <f t="shared" si="51"/>
        <v>#REF!</v>
      </c>
      <c r="H246" s="81" t="e">
        <f t="shared" si="51"/>
        <v>#REF!</v>
      </c>
      <c r="I246" s="81" t="e">
        <f t="shared" si="51"/>
        <v>#REF!</v>
      </c>
      <c r="J246" s="81" t="e">
        <f t="shared" si="51"/>
        <v>#REF!</v>
      </c>
      <c r="K246" s="79"/>
      <c r="L246" s="79"/>
    </row>
    <row r="247" spans="1:12">
      <c r="A247" s="80" t="e">
        <f t="shared" si="38"/>
        <v>#REF!</v>
      </c>
      <c r="B247" s="80" t="s">
        <v>349</v>
      </c>
      <c r="C247" s="215"/>
      <c r="D247" s="81" t="e">
        <f t="shared" ref="D247:J247" si="52">B82*$C$247*D$172</f>
        <v>#REF!</v>
      </c>
      <c r="E247" s="81" t="e">
        <f t="shared" si="52"/>
        <v>#REF!</v>
      </c>
      <c r="F247" s="81" t="e">
        <f t="shared" si="52"/>
        <v>#REF!</v>
      </c>
      <c r="G247" s="81" t="e">
        <f t="shared" si="52"/>
        <v>#REF!</v>
      </c>
      <c r="H247" s="81" t="e">
        <f t="shared" si="52"/>
        <v>#REF!</v>
      </c>
      <c r="I247" s="81" t="e">
        <f t="shared" si="52"/>
        <v>#REF!</v>
      </c>
      <c r="J247" s="81" t="e">
        <f t="shared" si="52"/>
        <v>#REF!</v>
      </c>
      <c r="K247" s="79"/>
      <c r="L247" s="79"/>
    </row>
    <row r="248" spans="1:12">
      <c r="A248" s="80" t="e">
        <f t="shared" si="38"/>
        <v>#REF!</v>
      </c>
      <c r="B248" s="80" t="s">
        <v>349</v>
      </c>
      <c r="C248" s="215"/>
      <c r="D248" s="81" t="e">
        <f t="shared" ref="D248:J248" si="53">B83*$C$248*D$172</f>
        <v>#REF!</v>
      </c>
      <c r="E248" s="81" t="e">
        <f t="shared" si="53"/>
        <v>#REF!</v>
      </c>
      <c r="F248" s="81" t="e">
        <f t="shared" si="53"/>
        <v>#REF!</v>
      </c>
      <c r="G248" s="81" t="e">
        <f t="shared" si="53"/>
        <v>#REF!</v>
      </c>
      <c r="H248" s="81" t="e">
        <f t="shared" si="53"/>
        <v>#REF!</v>
      </c>
      <c r="I248" s="81" t="e">
        <f t="shared" si="53"/>
        <v>#REF!</v>
      </c>
      <c r="J248" s="81" t="e">
        <f t="shared" si="53"/>
        <v>#REF!</v>
      </c>
      <c r="K248" s="79"/>
      <c r="L248" s="79"/>
    </row>
    <row r="249" spans="1:12">
      <c r="A249" s="80" t="e">
        <f t="shared" si="38"/>
        <v>#REF!</v>
      </c>
      <c r="B249" s="80" t="s">
        <v>349</v>
      </c>
      <c r="C249" s="215"/>
      <c r="D249" s="81" t="e">
        <f t="shared" ref="D249:J255" si="54">B84*$C249*D$172</f>
        <v>#REF!</v>
      </c>
      <c r="E249" s="81" t="e">
        <f t="shared" si="54"/>
        <v>#REF!</v>
      </c>
      <c r="F249" s="81" t="e">
        <f t="shared" si="54"/>
        <v>#REF!</v>
      </c>
      <c r="G249" s="81" t="e">
        <f t="shared" si="54"/>
        <v>#REF!</v>
      </c>
      <c r="H249" s="81" t="e">
        <f t="shared" si="54"/>
        <v>#REF!</v>
      </c>
      <c r="I249" s="81" t="e">
        <f t="shared" si="54"/>
        <v>#REF!</v>
      </c>
      <c r="J249" s="81" t="e">
        <f t="shared" si="54"/>
        <v>#REF!</v>
      </c>
      <c r="K249" s="79"/>
      <c r="L249" s="79"/>
    </row>
    <row r="250" spans="1:12">
      <c r="A250" s="80" t="e">
        <f t="shared" si="38"/>
        <v>#REF!</v>
      </c>
      <c r="B250" s="80" t="s">
        <v>349</v>
      </c>
      <c r="C250" s="215"/>
      <c r="D250" s="81" t="e">
        <f t="shared" si="54"/>
        <v>#REF!</v>
      </c>
      <c r="E250" s="81" t="e">
        <f t="shared" si="54"/>
        <v>#REF!</v>
      </c>
      <c r="F250" s="81" t="e">
        <f t="shared" si="54"/>
        <v>#REF!</v>
      </c>
      <c r="G250" s="81" t="e">
        <f t="shared" si="54"/>
        <v>#REF!</v>
      </c>
      <c r="H250" s="81" t="e">
        <f t="shared" si="54"/>
        <v>#REF!</v>
      </c>
      <c r="I250" s="81" t="e">
        <f t="shared" si="54"/>
        <v>#REF!</v>
      </c>
      <c r="J250" s="81" t="e">
        <f t="shared" si="54"/>
        <v>#REF!</v>
      </c>
      <c r="K250" s="79"/>
      <c r="L250" s="79"/>
    </row>
    <row r="251" spans="1:12">
      <c r="A251" s="80" t="e">
        <f t="shared" si="38"/>
        <v>#REF!</v>
      </c>
      <c r="B251" s="80" t="s">
        <v>349</v>
      </c>
      <c r="C251" s="215"/>
      <c r="D251" s="81" t="e">
        <f t="shared" si="54"/>
        <v>#REF!</v>
      </c>
      <c r="E251" s="81" t="e">
        <f t="shared" si="54"/>
        <v>#REF!</v>
      </c>
      <c r="F251" s="81" t="e">
        <f t="shared" si="54"/>
        <v>#REF!</v>
      </c>
      <c r="G251" s="81" t="e">
        <f t="shared" si="54"/>
        <v>#REF!</v>
      </c>
      <c r="H251" s="81" t="e">
        <f t="shared" si="54"/>
        <v>#REF!</v>
      </c>
      <c r="I251" s="81" t="e">
        <f t="shared" si="54"/>
        <v>#REF!</v>
      </c>
      <c r="J251" s="81" t="e">
        <f t="shared" si="54"/>
        <v>#REF!</v>
      </c>
      <c r="K251" s="79"/>
      <c r="L251" s="79"/>
    </row>
    <row r="252" spans="1:12">
      <c r="A252" s="80" t="e">
        <f t="shared" si="38"/>
        <v>#REF!</v>
      </c>
      <c r="B252" s="80" t="s">
        <v>349</v>
      </c>
      <c r="C252" s="215"/>
      <c r="D252" s="81" t="e">
        <f t="shared" si="54"/>
        <v>#REF!</v>
      </c>
      <c r="E252" s="81" t="e">
        <f t="shared" si="54"/>
        <v>#REF!</v>
      </c>
      <c r="F252" s="81" t="e">
        <f t="shared" si="54"/>
        <v>#REF!</v>
      </c>
      <c r="G252" s="81" t="e">
        <f t="shared" si="54"/>
        <v>#REF!</v>
      </c>
      <c r="H252" s="81" t="e">
        <f t="shared" si="54"/>
        <v>#REF!</v>
      </c>
      <c r="I252" s="81" t="e">
        <f t="shared" si="54"/>
        <v>#REF!</v>
      </c>
      <c r="J252" s="81" t="e">
        <f t="shared" si="54"/>
        <v>#REF!</v>
      </c>
      <c r="K252" s="79"/>
      <c r="L252" s="79"/>
    </row>
    <row r="253" spans="1:12">
      <c r="A253" s="80" t="e">
        <f t="shared" si="38"/>
        <v>#REF!</v>
      </c>
      <c r="B253" s="80" t="s">
        <v>349</v>
      </c>
      <c r="C253" s="215"/>
      <c r="D253" s="81" t="e">
        <f t="shared" si="54"/>
        <v>#REF!</v>
      </c>
      <c r="E253" s="81" t="e">
        <f t="shared" si="54"/>
        <v>#REF!</v>
      </c>
      <c r="F253" s="81" t="e">
        <f t="shared" si="54"/>
        <v>#REF!</v>
      </c>
      <c r="G253" s="81" t="e">
        <f t="shared" si="54"/>
        <v>#REF!</v>
      </c>
      <c r="H253" s="81" t="e">
        <f t="shared" si="54"/>
        <v>#REF!</v>
      </c>
      <c r="I253" s="81" t="e">
        <f t="shared" si="54"/>
        <v>#REF!</v>
      </c>
      <c r="J253" s="81" t="e">
        <f t="shared" si="54"/>
        <v>#REF!</v>
      </c>
      <c r="K253" s="79"/>
      <c r="L253" s="79"/>
    </row>
    <row r="254" spans="1:12">
      <c r="A254" s="80">
        <f t="shared" si="38"/>
        <v>0</v>
      </c>
      <c r="B254" s="80" t="s">
        <v>349</v>
      </c>
      <c r="C254" s="215"/>
      <c r="D254" s="81" t="e">
        <f t="shared" si="54"/>
        <v>#REF!</v>
      </c>
      <c r="E254" s="81" t="e">
        <f t="shared" si="54"/>
        <v>#REF!</v>
      </c>
      <c r="F254" s="81" t="e">
        <f t="shared" si="54"/>
        <v>#REF!</v>
      </c>
      <c r="G254" s="81" t="e">
        <f t="shared" si="54"/>
        <v>#REF!</v>
      </c>
      <c r="H254" s="81" t="e">
        <f t="shared" si="54"/>
        <v>#REF!</v>
      </c>
      <c r="I254" s="81" t="e">
        <f t="shared" si="54"/>
        <v>#REF!</v>
      </c>
      <c r="J254" s="81" t="e">
        <f t="shared" si="54"/>
        <v>#REF!</v>
      </c>
      <c r="K254" s="79"/>
      <c r="L254" s="79"/>
    </row>
    <row r="255" spans="1:12">
      <c r="A255" s="80">
        <f t="shared" ref="A255:A274" si="55">A201</f>
        <v>0</v>
      </c>
      <c r="B255" s="80"/>
      <c r="C255" s="215"/>
      <c r="D255" s="81">
        <f t="shared" si="54"/>
        <v>0</v>
      </c>
      <c r="E255" s="81">
        <f t="shared" si="54"/>
        <v>0</v>
      </c>
      <c r="F255" s="81">
        <f t="shared" si="54"/>
        <v>0</v>
      </c>
      <c r="G255" s="81">
        <f t="shared" si="54"/>
        <v>0</v>
      </c>
      <c r="H255" s="81">
        <f t="shared" si="54"/>
        <v>0</v>
      </c>
      <c r="I255" s="81">
        <f t="shared" si="54"/>
        <v>0</v>
      </c>
      <c r="J255" s="81">
        <f t="shared" si="54"/>
        <v>0</v>
      </c>
      <c r="K255" s="79"/>
      <c r="L255" s="79"/>
    </row>
    <row r="256" spans="1:12">
      <c r="A256" s="82" t="str">
        <f t="shared" si="55"/>
        <v>Fruit  &amp; Vegetables Crop Production Details</v>
      </c>
      <c r="B256" s="80"/>
      <c r="C256" s="215"/>
      <c r="D256" s="81"/>
      <c r="E256" s="81"/>
      <c r="F256" s="81"/>
      <c r="G256" s="81"/>
      <c r="H256" s="81"/>
      <c r="I256" s="81"/>
      <c r="J256" s="81"/>
      <c r="K256" s="79"/>
      <c r="L256" s="79"/>
    </row>
    <row r="257" spans="1:12">
      <c r="A257" s="80" t="str">
        <f t="shared" si="55"/>
        <v>Okra</v>
      </c>
      <c r="B257" s="80" t="s">
        <v>349</v>
      </c>
      <c r="C257" s="215">
        <v>1800</v>
      </c>
      <c r="D257" s="81">
        <f t="shared" ref="D257:D274" si="56">B92*$C257*D$172</f>
        <v>0</v>
      </c>
      <c r="E257" s="81">
        <f t="shared" ref="E257:E274" si="57">C92*$C257*E$172</f>
        <v>0</v>
      </c>
      <c r="F257" s="81">
        <f t="shared" ref="F257:F274" si="58">D92*$C257*F$172</f>
        <v>0</v>
      </c>
      <c r="G257" s="81">
        <f t="shared" ref="G257:G274" si="59">E92*$C257*G$172</f>
        <v>0</v>
      </c>
      <c r="H257" s="81">
        <f t="shared" ref="H257:H274" si="60">F92*$C257*H$172</f>
        <v>0</v>
      </c>
      <c r="I257" s="81">
        <f t="shared" ref="I257:I274" si="61">G92*$C257*I$172</f>
        <v>0</v>
      </c>
      <c r="J257" s="81">
        <f t="shared" ref="J257:J274" si="62">H92*$C257*J$172</f>
        <v>0</v>
      </c>
      <c r="K257" s="79"/>
      <c r="L257" s="79"/>
    </row>
    <row r="258" spans="1:12">
      <c r="A258" s="80" t="e">
        <f t="shared" si="55"/>
        <v>#REF!</v>
      </c>
      <c r="B258" s="80" t="s">
        <v>349</v>
      </c>
      <c r="C258" s="215">
        <v>800</v>
      </c>
      <c r="D258" s="81" t="e">
        <f t="shared" si="56"/>
        <v>#REF!</v>
      </c>
      <c r="E258" s="81" t="e">
        <f t="shared" si="57"/>
        <v>#REF!</v>
      </c>
      <c r="F258" s="81" t="e">
        <f t="shared" si="58"/>
        <v>#REF!</v>
      </c>
      <c r="G258" s="81" t="e">
        <f t="shared" si="59"/>
        <v>#REF!</v>
      </c>
      <c r="H258" s="81" t="e">
        <f t="shared" si="60"/>
        <v>#REF!</v>
      </c>
      <c r="I258" s="81" t="e">
        <f t="shared" si="61"/>
        <v>#REF!</v>
      </c>
      <c r="J258" s="81" t="e">
        <f t="shared" si="62"/>
        <v>#REF!</v>
      </c>
      <c r="K258" s="79"/>
      <c r="L258" s="79"/>
    </row>
    <row r="259" spans="1:12">
      <c r="A259" s="80" t="e">
        <f t="shared" si="55"/>
        <v>#REF!</v>
      </c>
      <c r="B259" s="80" t="s">
        <v>349</v>
      </c>
      <c r="C259" s="215">
        <v>1300</v>
      </c>
      <c r="D259" s="81" t="e">
        <f t="shared" si="56"/>
        <v>#REF!</v>
      </c>
      <c r="E259" s="81" t="e">
        <f t="shared" si="57"/>
        <v>#REF!</v>
      </c>
      <c r="F259" s="81" t="e">
        <f t="shared" si="58"/>
        <v>#REF!</v>
      </c>
      <c r="G259" s="81" t="e">
        <f t="shared" si="59"/>
        <v>#REF!</v>
      </c>
      <c r="H259" s="81" t="e">
        <f t="shared" si="60"/>
        <v>#REF!</v>
      </c>
      <c r="I259" s="81" t="e">
        <f t="shared" si="61"/>
        <v>#REF!</v>
      </c>
      <c r="J259" s="81" t="e">
        <f t="shared" si="62"/>
        <v>#REF!</v>
      </c>
      <c r="K259" s="79"/>
      <c r="L259" s="79"/>
    </row>
    <row r="260" spans="1:12">
      <c r="A260" s="80" t="str">
        <f t="shared" si="55"/>
        <v>Chilli</v>
      </c>
      <c r="B260" s="80" t="s">
        <v>349</v>
      </c>
      <c r="C260" s="215">
        <v>2800</v>
      </c>
      <c r="D260" s="81">
        <f t="shared" si="56"/>
        <v>0</v>
      </c>
      <c r="E260" s="81">
        <f t="shared" si="57"/>
        <v>0</v>
      </c>
      <c r="F260" s="81">
        <f t="shared" si="58"/>
        <v>0</v>
      </c>
      <c r="G260" s="81">
        <f t="shared" si="59"/>
        <v>0</v>
      </c>
      <c r="H260" s="81">
        <f t="shared" si="60"/>
        <v>0</v>
      </c>
      <c r="I260" s="81">
        <f t="shared" si="61"/>
        <v>0</v>
      </c>
      <c r="J260" s="81">
        <f t="shared" si="62"/>
        <v>0</v>
      </c>
      <c r="K260" s="79"/>
      <c r="L260" s="79"/>
    </row>
    <row r="261" spans="1:12">
      <c r="A261" s="80" t="e">
        <f t="shared" si="55"/>
        <v>#REF!</v>
      </c>
      <c r="B261" s="80" t="s">
        <v>349</v>
      </c>
      <c r="C261" s="215">
        <v>1300</v>
      </c>
      <c r="D261" s="81" t="e">
        <f t="shared" si="56"/>
        <v>#REF!</v>
      </c>
      <c r="E261" s="81" t="e">
        <f t="shared" si="57"/>
        <v>#REF!</v>
      </c>
      <c r="F261" s="81" t="e">
        <f t="shared" si="58"/>
        <v>#REF!</v>
      </c>
      <c r="G261" s="81" t="e">
        <f t="shared" si="59"/>
        <v>#REF!</v>
      </c>
      <c r="H261" s="81" t="e">
        <f t="shared" si="60"/>
        <v>#REF!</v>
      </c>
      <c r="I261" s="81" t="e">
        <f t="shared" si="61"/>
        <v>#REF!</v>
      </c>
      <c r="J261" s="81" t="e">
        <f t="shared" si="62"/>
        <v>#REF!</v>
      </c>
      <c r="K261" s="79"/>
      <c r="L261" s="79"/>
    </row>
    <row r="262" spans="1:12">
      <c r="A262" s="80" t="e">
        <f t="shared" si="55"/>
        <v>#REF!</v>
      </c>
      <c r="B262" s="80" t="s">
        <v>349</v>
      </c>
      <c r="C262" s="215"/>
      <c r="D262" s="81" t="e">
        <f t="shared" si="56"/>
        <v>#REF!</v>
      </c>
      <c r="E262" s="81" t="e">
        <f t="shared" si="57"/>
        <v>#REF!</v>
      </c>
      <c r="F262" s="81" t="e">
        <f t="shared" si="58"/>
        <v>#REF!</v>
      </c>
      <c r="G262" s="81" t="e">
        <f t="shared" si="59"/>
        <v>#REF!</v>
      </c>
      <c r="H262" s="81" t="e">
        <f t="shared" si="60"/>
        <v>#REF!</v>
      </c>
      <c r="I262" s="81" t="e">
        <f t="shared" si="61"/>
        <v>#REF!</v>
      </c>
      <c r="J262" s="81" t="e">
        <f t="shared" si="62"/>
        <v>#REF!</v>
      </c>
      <c r="K262" s="79"/>
      <c r="L262" s="79"/>
    </row>
    <row r="263" spans="1:12">
      <c r="A263" s="80" t="e">
        <f t="shared" si="55"/>
        <v>#REF!</v>
      </c>
      <c r="B263" s="80" t="s">
        <v>349</v>
      </c>
      <c r="C263" s="215"/>
      <c r="D263" s="81" t="e">
        <f t="shared" si="56"/>
        <v>#REF!</v>
      </c>
      <c r="E263" s="81" t="e">
        <f t="shared" si="57"/>
        <v>#REF!</v>
      </c>
      <c r="F263" s="81" t="e">
        <f t="shared" si="58"/>
        <v>#REF!</v>
      </c>
      <c r="G263" s="81" t="e">
        <f t="shared" si="59"/>
        <v>#REF!</v>
      </c>
      <c r="H263" s="81" t="e">
        <f t="shared" si="60"/>
        <v>#REF!</v>
      </c>
      <c r="I263" s="81" t="e">
        <f t="shared" si="61"/>
        <v>#REF!</v>
      </c>
      <c r="J263" s="81" t="e">
        <f t="shared" si="62"/>
        <v>#REF!</v>
      </c>
      <c r="K263" s="79"/>
      <c r="L263" s="79"/>
    </row>
    <row r="264" spans="1:12">
      <c r="A264" s="80" t="e">
        <f t="shared" si="55"/>
        <v>#REF!</v>
      </c>
      <c r="B264" s="80" t="s">
        <v>349</v>
      </c>
      <c r="C264" s="215"/>
      <c r="D264" s="81" t="e">
        <f t="shared" si="56"/>
        <v>#REF!</v>
      </c>
      <c r="E264" s="81" t="e">
        <f t="shared" si="57"/>
        <v>#REF!</v>
      </c>
      <c r="F264" s="81" t="e">
        <f t="shared" si="58"/>
        <v>#REF!</v>
      </c>
      <c r="G264" s="81" t="e">
        <f t="shared" si="59"/>
        <v>#REF!</v>
      </c>
      <c r="H264" s="81" t="e">
        <f t="shared" si="60"/>
        <v>#REF!</v>
      </c>
      <c r="I264" s="81" t="e">
        <f t="shared" si="61"/>
        <v>#REF!</v>
      </c>
      <c r="J264" s="81" t="e">
        <f t="shared" si="62"/>
        <v>#REF!</v>
      </c>
      <c r="K264" s="79"/>
      <c r="L264" s="79"/>
    </row>
    <row r="265" spans="1:12">
      <c r="A265" s="80" t="e">
        <f t="shared" si="55"/>
        <v>#REF!</v>
      </c>
      <c r="B265" s="80" t="s">
        <v>349</v>
      </c>
      <c r="C265" s="215"/>
      <c r="D265" s="81" t="e">
        <f t="shared" si="56"/>
        <v>#REF!</v>
      </c>
      <c r="E265" s="81" t="e">
        <f t="shared" si="57"/>
        <v>#REF!</v>
      </c>
      <c r="F265" s="81" t="e">
        <f t="shared" si="58"/>
        <v>#REF!</v>
      </c>
      <c r="G265" s="81" t="e">
        <f t="shared" si="59"/>
        <v>#REF!</v>
      </c>
      <c r="H265" s="81" t="e">
        <f t="shared" si="60"/>
        <v>#REF!</v>
      </c>
      <c r="I265" s="81" t="e">
        <f t="shared" si="61"/>
        <v>#REF!</v>
      </c>
      <c r="J265" s="81" t="e">
        <f t="shared" si="62"/>
        <v>#REF!</v>
      </c>
      <c r="K265" s="79"/>
      <c r="L265" s="79"/>
    </row>
    <row r="266" spans="1:12">
      <c r="A266" s="80" t="e">
        <f t="shared" si="55"/>
        <v>#REF!</v>
      </c>
      <c r="B266" s="80" t="s">
        <v>349</v>
      </c>
      <c r="C266" s="215">
        <v>1800</v>
      </c>
      <c r="D266" s="81" t="e">
        <f t="shared" si="56"/>
        <v>#REF!</v>
      </c>
      <c r="E266" s="81" t="e">
        <f t="shared" si="57"/>
        <v>#REF!</v>
      </c>
      <c r="F266" s="81" t="e">
        <f t="shared" si="58"/>
        <v>#REF!</v>
      </c>
      <c r="G266" s="81" t="e">
        <f t="shared" si="59"/>
        <v>#REF!</v>
      </c>
      <c r="H266" s="81" t="e">
        <f t="shared" si="60"/>
        <v>#REF!</v>
      </c>
      <c r="I266" s="81" t="e">
        <f t="shared" si="61"/>
        <v>#REF!</v>
      </c>
      <c r="J266" s="81" t="e">
        <f t="shared" si="62"/>
        <v>#REF!</v>
      </c>
      <c r="K266" s="79"/>
      <c r="L266" s="79"/>
    </row>
    <row r="267" spans="1:12">
      <c r="A267" s="80" t="e">
        <f t="shared" si="55"/>
        <v>#REF!</v>
      </c>
      <c r="B267" s="80" t="s">
        <v>349</v>
      </c>
      <c r="C267" s="215">
        <v>800</v>
      </c>
      <c r="D267" s="81" t="e">
        <f t="shared" si="56"/>
        <v>#REF!</v>
      </c>
      <c r="E267" s="81" t="e">
        <f t="shared" si="57"/>
        <v>#REF!</v>
      </c>
      <c r="F267" s="81" t="e">
        <f t="shared" si="58"/>
        <v>#REF!</v>
      </c>
      <c r="G267" s="81" t="e">
        <f t="shared" si="59"/>
        <v>#REF!</v>
      </c>
      <c r="H267" s="81" t="e">
        <f t="shared" si="60"/>
        <v>#REF!</v>
      </c>
      <c r="I267" s="81" t="e">
        <f t="shared" si="61"/>
        <v>#REF!</v>
      </c>
      <c r="J267" s="81" t="e">
        <f t="shared" si="62"/>
        <v>#REF!</v>
      </c>
      <c r="K267" s="79"/>
      <c r="L267" s="79"/>
    </row>
    <row r="268" spans="1:12">
      <c r="A268" s="80" t="e">
        <f t="shared" si="55"/>
        <v>#REF!</v>
      </c>
      <c r="B268" s="80" t="s">
        <v>349</v>
      </c>
      <c r="C268" s="215">
        <v>1300</v>
      </c>
      <c r="D268" s="81" t="e">
        <f t="shared" si="56"/>
        <v>#REF!</v>
      </c>
      <c r="E268" s="81" t="e">
        <f t="shared" si="57"/>
        <v>#REF!</v>
      </c>
      <c r="F268" s="81" t="e">
        <f t="shared" si="58"/>
        <v>#REF!</v>
      </c>
      <c r="G268" s="81" t="e">
        <f t="shared" si="59"/>
        <v>#REF!</v>
      </c>
      <c r="H268" s="81" t="e">
        <f t="shared" si="60"/>
        <v>#REF!</v>
      </c>
      <c r="I268" s="81" t="e">
        <f t="shared" si="61"/>
        <v>#REF!</v>
      </c>
      <c r="J268" s="81" t="e">
        <f t="shared" si="62"/>
        <v>#REF!</v>
      </c>
      <c r="K268" s="79"/>
      <c r="L268" s="79"/>
    </row>
    <row r="269" spans="1:12">
      <c r="A269" s="80" t="e">
        <f t="shared" si="55"/>
        <v>#REF!</v>
      </c>
      <c r="B269" s="80" t="s">
        <v>349</v>
      </c>
      <c r="C269" s="215">
        <v>2800</v>
      </c>
      <c r="D269" s="81" t="e">
        <f t="shared" si="56"/>
        <v>#REF!</v>
      </c>
      <c r="E269" s="81" t="e">
        <f t="shared" si="57"/>
        <v>#REF!</v>
      </c>
      <c r="F269" s="81" t="e">
        <f t="shared" si="58"/>
        <v>#REF!</v>
      </c>
      <c r="G269" s="81" t="e">
        <f t="shared" si="59"/>
        <v>#REF!</v>
      </c>
      <c r="H269" s="81" t="e">
        <f t="shared" si="60"/>
        <v>#REF!</v>
      </c>
      <c r="I269" s="81" t="e">
        <f t="shared" si="61"/>
        <v>#REF!</v>
      </c>
      <c r="J269" s="81" t="e">
        <f t="shared" si="62"/>
        <v>#REF!</v>
      </c>
      <c r="K269" s="79"/>
      <c r="L269" s="79"/>
    </row>
    <row r="270" spans="1:12">
      <c r="A270" s="80" t="e">
        <f t="shared" si="55"/>
        <v>#REF!</v>
      </c>
      <c r="B270" s="80" t="s">
        <v>349</v>
      </c>
      <c r="C270" s="215">
        <v>1800</v>
      </c>
      <c r="D270" s="81" t="e">
        <f t="shared" si="56"/>
        <v>#REF!</v>
      </c>
      <c r="E270" s="81" t="e">
        <f t="shared" si="57"/>
        <v>#REF!</v>
      </c>
      <c r="F270" s="81" t="e">
        <f t="shared" si="58"/>
        <v>#REF!</v>
      </c>
      <c r="G270" s="81" t="e">
        <f t="shared" si="59"/>
        <v>#REF!</v>
      </c>
      <c r="H270" s="81" t="e">
        <f t="shared" si="60"/>
        <v>#REF!</v>
      </c>
      <c r="I270" s="81" t="e">
        <f t="shared" si="61"/>
        <v>#REF!</v>
      </c>
      <c r="J270" s="81" t="e">
        <f t="shared" si="62"/>
        <v>#REF!</v>
      </c>
      <c r="K270" s="79"/>
      <c r="L270" s="79"/>
    </row>
    <row r="271" spans="1:12">
      <c r="A271" s="80" t="e">
        <f t="shared" si="55"/>
        <v>#REF!</v>
      </c>
      <c r="B271" s="80" t="s">
        <v>349</v>
      </c>
      <c r="C271" s="215"/>
      <c r="D271" s="81" t="e">
        <f t="shared" si="56"/>
        <v>#REF!</v>
      </c>
      <c r="E271" s="81" t="e">
        <f t="shared" si="57"/>
        <v>#REF!</v>
      </c>
      <c r="F271" s="81" t="e">
        <f t="shared" si="58"/>
        <v>#REF!</v>
      </c>
      <c r="G271" s="81" t="e">
        <f t="shared" si="59"/>
        <v>#REF!</v>
      </c>
      <c r="H271" s="81" t="e">
        <f t="shared" si="60"/>
        <v>#REF!</v>
      </c>
      <c r="I271" s="81" t="e">
        <f t="shared" si="61"/>
        <v>#REF!</v>
      </c>
      <c r="J271" s="81" t="e">
        <f t="shared" si="62"/>
        <v>#REF!</v>
      </c>
      <c r="K271" s="79"/>
      <c r="L271" s="79"/>
    </row>
    <row r="272" spans="1:12">
      <c r="A272" s="80" t="e">
        <f t="shared" si="55"/>
        <v>#REF!</v>
      </c>
      <c r="B272" s="80" t="s">
        <v>349</v>
      </c>
      <c r="C272" s="215"/>
      <c r="D272" s="81" t="e">
        <f t="shared" si="56"/>
        <v>#REF!</v>
      </c>
      <c r="E272" s="81" t="e">
        <f t="shared" si="57"/>
        <v>#REF!</v>
      </c>
      <c r="F272" s="81" t="e">
        <f t="shared" si="58"/>
        <v>#REF!</v>
      </c>
      <c r="G272" s="81" t="e">
        <f t="shared" si="59"/>
        <v>#REF!</v>
      </c>
      <c r="H272" s="81" t="e">
        <f t="shared" si="60"/>
        <v>#REF!</v>
      </c>
      <c r="I272" s="81" t="e">
        <f t="shared" si="61"/>
        <v>#REF!</v>
      </c>
      <c r="J272" s="81" t="e">
        <f t="shared" si="62"/>
        <v>#REF!</v>
      </c>
      <c r="K272" s="79"/>
      <c r="L272" s="79"/>
    </row>
    <row r="273" spans="1:12">
      <c r="A273" s="80" t="e">
        <f t="shared" si="55"/>
        <v>#REF!</v>
      </c>
      <c r="B273" s="80" t="s">
        <v>349</v>
      </c>
      <c r="C273" s="215"/>
      <c r="D273" s="81" t="e">
        <f t="shared" si="56"/>
        <v>#REF!</v>
      </c>
      <c r="E273" s="81" t="e">
        <f t="shared" si="57"/>
        <v>#REF!</v>
      </c>
      <c r="F273" s="81" t="e">
        <f t="shared" si="58"/>
        <v>#REF!</v>
      </c>
      <c r="G273" s="81" t="e">
        <f t="shared" si="59"/>
        <v>#REF!</v>
      </c>
      <c r="H273" s="81" t="e">
        <f t="shared" si="60"/>
        <v>#REF!</v>
      </c>
      <c r="I273" s="81" t="e">
        <f t="shared" si="61"/>
        <v>#REF!</v>
      </c>
      <c r="J273" s="81" t="e">
        <f t="shared" si="62"/>
        <v>#REF!</v>
      </c>
      <c r="K273" s="79"/>
      <c r="L273" s="79"/>
    </row>
    <row r="274" spans="1:12">
      <c r="A274" s="80" t="e">
        <f t="shared" si="55"/>
        <v>#REF!</v>
      </c>
      <c r="B274" s="80" t="s">
        <v>349</v>
      </c>
      <c r="C274" s="215"/>
      <c r="D274" s="81" t="e">
        <f t="shared" si="56"/>
        <v>#REF!</v>
      </c>
      <c r="E274" s="81" t="e">
        <f t="shared" si="57"/>
        <v>#REF!</v>
      </c>
      <c r="F274" s="81" t="e">
        <f t="shared" si="58"/>
        <v>#REF!</v>
      </c>
      <c r="G274" s="81" t="e">
        <f t="shared" si="59"/>
        <v>#REF!</v>
      </c>
      <c r="H274" s="81" t="e">
        <f t="shared" si="60"/>
        <v>#REF!</v>
      </c>
      <c r="I274" s="81" t="e">
        <f t="shared" si="61"/>
        <v>#REF!</v>
      </c>
      <c r="J274" s="81" t="e">
        <f t="shared" si="62"/>
        <v>#REF!</v>
      </c>
      <c r="K274" s="79"/>
      <c r="L274" s="79"/>
    </row>
    <row r="275" spans="1:12">
      <c r="A275" s="80" t="e">
        <f>A224</f>
        <v>#REF!</v>
      </c>
      <c r="B275" s="80" t="s">
        <v>349</v>
      </c>
      <c r="C275" s="215">
        <v>4700</v>
      </c>
      <c r="D275" s="81" t="e">
        <f t="shared" ref="D275:J280" si="63">B113*$C275*D$172</f>
        <v>#REF!</v>
      </c>
      <c r="E275" s="81" t="e">
        <f t="shared" si="63"/>
        <v>#REF!</v>
      </c>
      <c r="F275" s="81" t="e">
        <f t="shared" si="63"/>
        <v>#REF!</v>
      </c>
      <c r="G275" s="81" t="e">
        <f t="shared" si="63"/>
        <v>#REF!</v>
      </c>
      <c r="H275" s="81" t="e">
        <f t="shared" si="63"/>
        <v>#REF!</v>
      </c>
      <c r="I275" s="81" t="e">
        <f t="shared" si="63"/>
        <v>#REF!</v>
      </c>
      <c r="J275" s="81" t="e">
        <f t="shared" si="63"/>
        <v>#REF!</v>
      </c>
      <c r="K275" s="79"/>
      <c r="L275" s="79"/>
    </row>
    <row r="276" spans="1:12">
      <c r="A276" s="80" t="e">
        <f>A225</f>
        <v>#REF!</v>
      </c>
      <c r="B276" s="80" t="s">
        <v>349</v>
      </c>
      <c r="C276" s="215"/>
      <c r="D276" s="81" t="e">
        <f t="shared" si="63"/>
        <v>#REF!</v>
      </c>
      <c r="E276" s="81" t="e">
        <f t="shared" si="63"/>
        <v>#REF!</v>
      </c>
      <c r="F276" s="81" t="e">
        <f t="shared" si="63"/>
        <v>#REF!</v>
      </c>
      <c r="G276" s="81" t="e">
        <f t="shared" si="63"/>
        <v>#REF!</v>
      </c>
      <c r="H276" s="81" t="e">
        <f t="shared" si="63"/>
        <v>#REF!</v>
      </c>
      <c r="I276" s="81" t="e">
        <f t="shared" si="63"/>
        <v>#REF!</v>
      </c>
      <c r="J276" s="81" t="e">
        <f t="shared" si="63"/>
        <v>#REF!</v>
      </c>
      <c r="K276" s="79"/>
      <c r="L276" s="79"/>
    </row>
    <row r="277" spans="1:12">
      <c r="A277" s="80" t="e">
        <f>A226</f>
        <v>#REF!</v>
      </c>
      <c r="B277" s="80" t="s">
        <v>349</v>
      </c>
      <c r="C277" s="215"/>
      <c r="D277" s="81" t="e">
        <f t="shared" si="63"/>
        <v>#REF!</v>
      </c>
      <c r="E277" s="81" t="e">
        <f t="shared" si="63"/>
        <v>#REF!</v>
      </c>
      <c r="F277" s="81" t="e">
        <f t="shared" si="63"/>
        <v>#REF!</v>
      </c>
      <c r="G277" s="81" t="e">
        <f t="shared" si="63"/>
        <v>#REF!</v>
      </c>
      <c r="H277" s="81" t="e">
        <f t="shared" si="63"/>
        <v>#REF!</v>
      </c>
      <c r="I277" s="81" t="e">
        <f t="shared" si="63"/>
        <v>#REF!</v>
      </c>
      <c r="J277" s="81" t="e">
        <f t="shared" si="63"/>
        <v>#REF!</v>
      </c>
      <c r="K277" s="79"/>
      <c r="L277" s="79"/>
    </row>
    <row r="278" spans="1:12">
      <c r="A278" s="80" t="e">
        <f>A227</f>
        <v>#REF!</v>
      </c>
      <c r="B278" s="80" t="s">
        <v>349</v>
      </c>
      <c r="C278" s="215"/>
      <c r="D278" s="81" t="e">
        <f t="shared" si="63"/>
        <v>#REF!</v>
      </c>
      <c r="E278" s="81" t="e">
        <f t="shared" si="63"/>
        <v>#REF!</v>
      </c>
      <c r="F278" s="81" t="e">
        <f t="shared" si="63"/>
        <v>#REF!</v>
      </c>
      <c r="G278" s="81" t="e">
        <f t="shared" si="63"/>
        <v>#REF!</v>
      </c>
      <c r="H278" s="81" t="e">
        <f t="shared" si="63"/>
        <v>#REF!</v>
      </c>
      <c r="I278" s="81" t="e">
        <f t="shared" si="63"/>
        <v>#REF!</v>
      </c>
      <c r="J278" s="81" t="e">
        <f t="shared" si="63"/>
        <v>#REF!</v>
      </c>
      <c r="K278" s="79"/>
      <c r="L278" s="79"/>
    </row>
    <row r="279" spans="1:12">
      <c r="A279" s="80">
        <f>A228</f>
        <v>0</v>
      </c>
      <c r="B279" s="80" t="s">
        <v>349</v>
      </c>
      <c r="C279" s="215"/>
      <c r="D279" s="81">
        <f t="shared" si="63"/>
        <v>0</v>
      </c>
      <c r="E279" s="81">
        <f t="shared" si="63"/>
        <v>0</v>
      </c>
      <c r="F279" s="81">
        <f t="shared" si="63"/>
        <v>0</v>
      </c>
      <c r="G279" s="81">
        <f t="shared" si="63"/>
        <v>0</v>
      </c>
      <c r="H279" s="81">
        <f t="shared" si="63"/>
        <v>0</v>
      </c>
      <c r="I279" s="81">
        <f t="shared" si="63"/>
        <v>0</v>
      </c>
      <c r="J279" s="81">
        <f t="shared" si="63"/>
        <v>0</v>
      </c>
      <c r="K279" s="79"/>
      <c r="L279" s="79"/>
    </row>
    <row r="280" spans="1:12">
      <c r="A280" s="80">
        <f>A230</f>
        <v>0</v>
      </c>
      <c r="B280" s="80"/>
      <c r="C280" s="215"/>
      <c r="D280" s="81">
        <f t="shared" si="63"/>
        <v>0</v>
      </c>
      <c r="E280" s="81">
        <f t="shared" si="63"/>
        <v>0</v>
      </c>
      <c r="F280" s="81">
        <f t="shared" si="63"/>
        <v>0</v>
      </c>
      <c r="G280" s="81">
        <f t="shared" si="63"/>
        <v>0</v>
      </c>
      <c r="H280" s="81">
        <f t="shared" si="63"/>
        <v>0</v>
      </c>
      <c r="I280" s="81">
        <f t="shared" si="63"/>
        <v>0</v>
      </c>
      <c r="J280" s="81">
        <f t="shared" si="63"/>
        <v>0</v>
      </c>
      <c r="K280" s="79"/>
      <c r="L280" s="79"/>
    </row>
    <row r="281" spans="1:12">
      <c r="A281" s="80"/>
      <c r="B281" s="80"/>
      <c r="C281" s="215"/>
      <c r="D281" s="81"/>
      <c r="E281" s="81"/>
      <c r="F281" s="81"/>
      <c r="G281" s="81"/>
      <c r="H281" s="81"/>
      <c r="I281" s="81"/>
      <c r="J281" s="81"/>
      <c r="K281" s="79"/>
      <c r="L281" s="79"/>
    </row>
    <row r="282" spans="1:12">
      <c r="A282" s="80" t="s">
        <v>302</v>
      </c>
      <c r="B282" s="192">
        <v>5</v>
      </c>
      <c r="C282" s="192">
        <v>300</v>
      </c>
      <c r="D282" s="81" t="e">
        <f t="shared" ref="D282:J282" si="64">B10*$B$282*$C$282*D172</f>
        <v>#REF!</v>
      </c>
      <c r="E282" s="81" t="e">
        <f t="shared" si="64"/>
        <v>#REF!</v>
      </c>
      <c r="F282" s="81" t="e">
        <f t="shared" si="64"/>
        <v>#REF!</v>
      </c>
      <c r="G282" s="81" t="e">
        <f t="shared" si="64"/>
        <v>#REF!</v>
      </c>
      <c r="H282" s="81" t="e">
        <f t="shared" si="64"/>
        <v>#REF!</v>
      </c>
      <c r="I282" s="81" t="e">
        <f t="shared" si="64"/>
        <v>#REF!</v>
      </c>
      <c r="J282" s="81" t="e">
        <f t="shared" si="64"/>
        <v>#REF!</v>
      </c>
      <c r="K282" s="79"/>
      <c r="L282" s="79"/>
    </row>
    <row r="283" spans="1:12">
      <c r="A283" s="80" t="s">
        <v>139</v>
      </c>
      <c r="B283" s="80">
        <f>'2.Capex Details'!H55*0.746*8</f>
        <v>0</v>
      </c>
      <c r="C283" s="192">
        <v>8</v>
      </c>
      <c r="D283" s="81" t="e">
        <f t="shared" ref="D283:J283" si="65">$B$283*$C$283*D172*B10</f>
        <v>#REF!</v>
      </c>
      <c r="E283" s="81" t="e">
        <f t="shared" si="65"/>
        <v>#REF!</v>
      </c>
      <c r="F283" s="81" t="e">
        <f t="shared" si="65"/>
        <v>#REF!</v>
      </c>
      <c r="G283" s="81" t="e">
        <f t="shared" si="65"/>
        <v>#REF!</v>
      </c>
      <c r="H283" s="81" t="e">
        <f t="shared" si="65"/>
        <v>#REF!</v>
      </c>
      <c r="I283" s="81" t="e">
        <f t="shared" si="65"/>
        <v>#REF!</v>
      </c>
      <c r="J283" s="81" t="e">
        <f t="shared" si="65"/>
        <v>#REF!</v>
      </c>
      <c r="K283" s="79"/>
      <c r="L283" s="79"/>
    </row>
    <row r="284" spans="1:12">
      <c r="A284" s="80" t="s">
        <v>440</v>
      </c>
      <c r="B284" s="80"/>
      <c r="C284" s="192">
        <v>30</v>
      </c>
      <c r="D284" s="81" t="e">
        <f t="shared" ref="D284:J284" si="66">SUM(B120:B141)*$C$284*D172</f>
        <v>#REF!</v>
      </c>
      <c r="E284" s="81" t="e">
        <f t="shared" si="66"/>
        <v>#REF!</v>
      </c>
      <c r="F284" s="81" t="e">
        <f t="shared" si="66"/>
        <v>#REF!</v>
      </c>
      <c r="G284" s="81" t="e">
        <f t="shared" si="66"/>
        <v>#REF!</v>
      </c>
      <c r="H284" s="81" t="e">
        <f t="shared" si="66"/>
        <v>#REF!</v>
      </c>
      <c r="I284" s="81" t="e">
        <f t="shared" si="66"/>
        <v>#REF!</v>
      </c>
      <c r="J284" s="81" t="e">
        <f t="shared" si="66"/>
        <v>#REF!</v>
      </c>
      <c r="K284" s="79"/>
      <c r="L284" s="79"/>
    </row>
    <row r="285" spans="1:12">
      <c r="A285" s="80" t="s">
        <v>439</v>
      </c>
      <c r="B285" s="80"/>
      <c r="C285" s="192">
        <v>30</v>
      </c>
      <c r="D285" s="81" t="e">
        <f t="shared" ref="D285:J285" si="67">SUM(B120:B141)*$C$285*D172</f>
        <v>#REF!</v>
      </c>
      <c r="E285" s="81" t="e">
        <f t="shared" si="67"/>
        <v>#REF!</v>
      </c>
      <c r="F285" s="81" t="e">
        <f t="shared" si="67"/>
        <v>#REF!</v>
      </c>
      <c r="G285" s="81" t="e">
        <f t="shared" si="67"/>
        <v>#REF!</v>
      </c>
      <c r="H285" s="81" t="e">
        <f t="shared" si="67"/>
        <v>#REF!</v>
      </c>
      <c r="I285" s="81" t="e">
        <f t="shared" si="67"/>
        <v>#REF!</v>
      </c>
      <c r="J285" s="81" t="e">
        <f t="shared" si="67"/>
        <v>#REF!</v>
      </c>
      <c r="K285" s="79"/>
      <c r="L285" s="79"/>
    </row>
    <row r="286" spans="1:12">
      <c r="A286" s="10"/>
      <c r="B286" s="10"/>
      <c r="C286" s="10"/>
      <c r="D286" s="10"/>
      <c r="E286" s="10"/>
      <c r="F286" s="10"/>
      <c r="G286" s="10"/>
      <c r="H286" s="10"/>
      <c r="I286" s="10"/>
      <c r="J286" s="10"/>
      <c r="K286" s="79"/>
      <c r="L286" s="79"/>
    </row>
    <row r="287" spans="1:12">
      <c r="A287" s="10"/>
      <c r="B287" s="10"/>
      <c r="C287" s="10"/>
      <c r="D287" s="10"/>
      <c r="E287" s="10"/>
      <c r="F287" s="10"/>
      <c r="G287" s="10"/>
      <c r="H287" s="10"/>
      <c r="I287" s="10"/>
      <c r="J287" s="10"/>
      <c r="K287" s="79"/>
      <c r="L287" s="79"/>
    </row>
    <row r="288" spans="1:12">
      <c r="A288" s="10"/>
      <c r="B288" s="10"/>
      <c r="C288" s="10"/>
      <c r="D288" s="10"/>
      <c r="E288" s="10"/>
      <c r="F288" s="10"/>
      <c r="G288" s="10"/>
      <c r="H288" s="10"/>
      <c r="I288" s="10"/>
      <c r="J288" s="10"/>
      <c r="K288" s="79"/>
      <c r="L288" s="79"/>
    </row>
    <row r="289" spans="1:20">
      <c r="A289" s="84" t="s">
        <v>329</v>
      </c>
      <c r="B289" s="80"/>
      <c r="C289" s="80"/>
      <c r="D289" s="162"/>
      <c r="E289" s="162">
        <f>'5.Closing Stock &amp; W Capital'!F7</f>
        <v>0</v>
      </c>
      <c r="F289" s="162">
        <f>'5.Closing Stock &amp; W Capital'!G7</f>
        <v>0</v>
      </c>
      <c r="G289" s="162">
        <f>'5.Closing Stock &amp; W Capital'!H7</f>
        <v>0</v>
      </c>
      <c r="H289" s="162">
        <f>'5.Closing Stock &amp; W Capital'!I7</f>
        <v>0</v>
      </c>
      <c r="I289" s="162">
        <f>'5.Closing Stock &amp; W Capital'!J7</f>
        <v>0</v>
      </c>
      <c r="J289" s="162">
        <f>'5.Closing Stock &amp; W Capital'!K7</f>
        <v>0</v>
      </c>
      <c r="K289" s="79"/>
      <c r="L289" s="79"/>
    </row>
    <row r="290" spans="1:20">
      <c r="A290" s="84" t="s">
        <v>330</v>
      </c>
      <c r="B290" s="80"/>
      <c r="C290" s="162"/>
      <c r="D290" s="162">
        <f>'5.Closing Stock &amp; W Capital'!E16</f>
        <v>0</v>
      </c>
      <c r="E290" s="162">
        <f>'5.Closing Stock &amp; W Capital'!F16</f>
        <v>0</v>
      </c>
      <c r="F290" s="162">
        <f>'5.Closing Stock &amp; W Capital'!G16</f>
        <v>0</v>
      </c>
      <c r="G290" s="162">
        <f>'5.Closing Stock &amp; W Capital'!H16</f>
        <v>0</v>
      </c>
      <c r="H290" s="162">
        <f>'5.Closing Stock &amp; W Capital'!I16</f>
        <v>0</v>
      </c>
      <c r="I290" s="162">
        <f>'5.Closing Stock &amp; W Capital'!J16</f>
        <v>0</v>
      </c>
      <c r="J290" s="162">
        <f>'5.Closing Stock &amp; W Capital'!K16</f>
        <v>0</v>
      </c>
      <c r="K290" s="79"/>
      <c r="L290" s="79"/>
    </row>
    <row r="291" spans="1:20">
      <c r="A291" s="84"/>
      <c r="B291" s="80"/>
      <c r="C291" s="165"/>
      <c r="D291" s="162"/>
      <c r="E291" s="162"/>
      <c r="F291" s="162"/>
      <c r="G291" s="162"/>
      <c r="H291" s="162"/>
      <c r="I291" s="162"/>
      <c r="J291" s="162"/>
      <c r="K291" s="79"/>
      <c r="L291" s="79"/>
      <c r="M291" s="79"/>
      <c r="N291" s="79"/>
      <c r="O291" s="79"/>
      <c r="P291" s="79"/>
      <c r="Q291" s="79"/>
      <c r="R291" s="79"/>
      <c r="S291" s="79"/>
      <c r="T291" s="79"/>
    </row>
    <row r="292" spans="1:20">
      <c r="A292" s="82" t="s">
        <v>308</v>
      </c>
      <c r="B292" s="82"/>
      <c r="C292" s="82"/>
      <c r="D292" s="98" t="e">
        <f t="shared" ref="D292:J292" si="68">SUM(D233:D289)-D290</f>
        <v>#REF!</v>
      </c>
      <c r="E292" s="98" t="e">
        <f t="shared" si="68"/>
        <v>#REF!</v>
      </c>
      <c r="F292" s="98" t="e">
        <f t="shared" si="68"/>
        <v>#REF!</v>
      </c>
      <c r="G292" s="98" t="e">
        <f t="shared" si="68"/>
        <v>#REF!</v>
      </c>
      <c r="H292" s="98" t="e">
        <f t="shared" si="68"/>
        <v>#REF!</v>
      </c>
      <c r="I292" s="98" t="e">
        <f t="shared" si="68"/>
        <v>#REF!</v>
      </c>
      <c r="J292" s="98" t="e">
        <f t="shared" si="68"/>
        <v>#REF!</v>
      </c>
      <c r="K292" s="79"/>
      <c r="L292" s="79"/>
      <c r="M292" s="79"/>
      <c r="N292" s="79"/>
      <c r="O292" s="79"/>
      <c r="P292" s="79"/>
      <c r="Q292" s="79"/>
      <c r="R292" s="79"/>
      <c r="S292" s="79"/>
      <c r="T292" s="79"/>
    </row>
    <row r="293" spans="1:20">
      <c r="A293" s="82" t="s">
        <v>299</v>
      </c>
      <c r="B293" s="80"/>
      <c r="C293" s="80"/>
      <c r="D293" s="93"/>
      <c r="E293" s="93"/>
      <c r="F293" s="93"/>
      <c r="G293" s="93"/>
      <c r="H293" s="93"/>
      <c r="I293" s="80"/>
      <c r="J293" s="80"/>
      <c r="K293" s="79"/>
      <c r="L293" s="79"/>
      <c r="M293" s="79"/>
      <c r="N293" s="79"/>
      <c r="O293" s="79"/>
      <c r="P293" s="79"/>
      <c r="Q293" s="79"/>
      <c r="R293" s="79"/>
      <c r="S293" s="79"/>
      <c r="T293" s="79"/>
    </row>
    <row r="294" spans="1:20">
      <c r="A294" s="80" t="s">
        <v>182</v>
      </c>
      <c r="B294" s="192">
        <v>1</v>
      </c>
      <c r="C294" s="215"/>
      <c r="D294" s="81">
        <f t="shared" ref="D294:J294" si="69">$B$294*$C$294*12*D172</f>
        <v>0</v>
      </c>
      <c r="E294" s="81">
        <f t="shared" si="69"/>
        <v>0</v>
      </c>
      <c r="F294" s="81">
        <f t="shared" si="69"/>
        <v>0</v>
      </c>
      <c r="G294" s="81">
        <f t="shared" si="69"/>
        <v>0</v>
      </c>
      <c r="H294" s="81">
        <f t="shared" si="69"/>
        <v>0</v>
      </c>
      <c r="I294" s="81">
        <f t="shared" si="69"/>
        <v>0</v>
      </c>
      <c r="J294" s="81">
        <f t="shared" si="69"/>
        <v>0</v>
      </c>
      <c r="K294" s="79"/>
      <c r="L294" s="79"/>
      <c r="M294" s="79"/>
      <c r="N294" s="79"/>
      <c r="O294" s="79"/>
      <c r="P294" s="79"/>
      <c r="Q294" s="79"/>
      <c r="R294" s="79"/>
      <c r="S294" s="79"/>
      <c r="T294" s="79"/>
    </row>
    <row r="295" spans="1:20">
      <c r="A295" s="80"/>
      <c r="B295" s="192"/>
      <c r="C295" s="215"/>
      <c r="D295" s="81"/>
      <c r="E295" s="81"/>
      <c r="F295" s="81"/>
      <c r="G295" s="81"/>
      <c r="H295" s="81"/>
      <c r="I295" s="81"/>
      <c r="J295" s="81"/>
      <c r="K295" s="79"/>
      <c r="L295" s="79"/>
      <c r="M295" s="79"/>
      <c r="N295" s="166"/>
      <c r="O295" s="79"/>
      <c r="P295" s="79"/>
      <c r="Q295" s="79"/>
      <c r="R295" s="79"/>
      <c r="S295" s="79"/>
      <c r="T295" s="79"/>
    </row>
    <row r="296" spans="1:20">
      <c r="A296" s="80"/>
      <c r="B296" s="192"/>
      <c r="C296" s="215"/>
      <c r="D296" s="81"/>
      <c r="E296" s="81"/>
      <c r="F296" s="81"/>
      <c r="G296" s="81"/>
      <c r="H296" s="81"/>
      <c r="I296" s="81"/>
      <c r="J296" s="81"/>
      <c r="K296" s="79"/>
      <c r="L296" s="79"/>
      <c r="M296" s="79"/>
      <c r="N296" s="79"/>
      <c r="O296" s="79"/>
      <c r="P296" s="79"/>
      <c r="Q296" s="79"/>
      <c r="R296" s="79"/>
      <c r="S296" s="79"/>
      <c r="T296" s="79"/>
    </row>
    <row r="297" spans="1:20">
      <c r="A297" s="80"/>
      <c r="B297" s="192"/>
      <c r="C297" s="215"/>
      <c r="D297" s="81"/>
      <c r="E297" s="81"/>
      <c r="F297" s="81"/>
      <c r="G297" s="81"/>
      <c r="H297" s="81"/>
      <c r="I297" s="81"/>
      <c r="J297" s="81"/>
      <c r="K297" s="79"/>
      <c r="L297" s="79"/>
      <c r="M297" s="79"/>
      <c r="N297" s="79"/>
      <c r="O297" s="79"/>
      <c r="P297" s="79"/>
      <c r="Q297" s="79"/>
      <c r="R297" s="79"/>
      <c r="S297" s="79"/>
      <c r="T297" s="79"/>
    </row>
    <row r="298" spans="1:20">
      <c r="A298" s="80"/>
      <c r="B298" s="192"/>
      <c r="C298" s="215"/>
      <c r="D298" s="81"/>
      <c r="E298" s="81"/>
      <c r="F298" s="81"/>
      <c r="G298" s="81"/>
      <c r="H298" s="81"/>
      <c r="I298" s="81"/>
      <c r="J298" s="81"/>
      <c r="K298" s="79"/>
      <c r="L298" s="79"/>
      <c r="M298" s="79"/>
      <c r="N298" s="79"/>
      <c r="O298" s="79"/>
      <c r="P298" s="79"/>
      <c r="Q298" s="79"/>
      <c r="R298" s="79"/>
      <c r="S298" s="79"/>
      <c r="T298" s="79"/>
    </row>
    <row r="299" spans="1:20">
      <c r="A299" s="80"/>
      <c r="B299" s="192"/>
      <c r="C299" s="215"/>
      <c r="D299" s="81"/>
      <c r="E299" s="81"/>
      <c r="F299" s="81"/>
      <c r="G299" s="81"/>
      <c r="H299" s="81"/>
      <c r="I299" s="81"/>
      <c r="J299" s="81"/>
      <c r="K299" s="79"/>
      <c r="L299" s="79"/>
      <c r="M299" s="79"/>
      <c r="N299" s="79"/>
      <c r="O299" s="79"/>
      <c r="P299" s="79"/>
      <c r="Q299" s="79"/>
      <c r="R299" s="79"/>
      <c r="S299" s="79"/>
      <c r="T299" s="79"/>
    </row>
    <row r="300" spans="1:20">
      <c r="A300" s="80"/>
      <c r="B300" s="192"/>
      <c r="C300" s="215"/>
      <c r="D300" s="81"/>
      <c r="E300" s="81"/>
      <c r="F300" s="81"/>
      <c r="G300" s="81"/>
      <c r="H300" s="81"/>
      <c r="I300" s="81"/>
      <c r="J300" s="81"/>
      <c r="K300" s="79"/>
      <c r="L300" s="79"/>
      <c r="M300" s="79"/>
      <c r="N300" s="79"/>
      <c r="O300" s="79"/>
      <c r="P300" s="79"/>
      <c r="Q300" s="79"/>
      <c r="R300" s="79"/>
      <c r="S300" s="79"/>
      <c r="T300" s="79"/>
    </row>
    <row r="301" spans="1:20">
      <c r="A301" s="82" t="s">
        <v>312</v>
      </c>
      <c r="B301" s="197"/>
      <c r="C301" s="197"/>
      <c r="D301" s="98">
        <f t="shared" ref="D301:J301" si="70">SUM(D294:D300)</f>
        <v>0</v>
      </c>
      <c r="E301" s="98">
        <f t="shared" si="70"/>
        <v>0</v>
      </c>
      <c r="F301" s="98">
        <f t="shared" si="70"/>
        <v>0</v>
      </c>
      <c r="G301" s="98">
        <f t="shared" si="70"/>
        <v>0</v>
      </c>
      <c r="H301" s="98">
        <f t="shared" si="70"/>
        <v>0</v>
      </c>
      <c r="I301" s="98">
        <f t="shared" si="70"/>
        <v>0</v>
      </c>
      <c r="J301" s="98">
        <f t="shared" si="70"/>
        <v>0</v>
      </c>
      <c r="K301" s="79"/>
      <c r="L301" s="79"/>
      <c r="M301" s="79"/>
      <c r="N301" s="166"/>
      <c r="O301" s="79"/>
      <c r="P301" s="79"/>
      <c r="Q301" s="79"/>
      <c r="R301" s="79"/>
      <c r="S301" s="79"/>
      <c r="T301" s="79"/>
    </row>
    <row r="302" spans="1:20">
      <c r="A302" s="82" t="s">
        <v>127</v>
      </c>
      <c r="B302" s="82"/>
      <c r="C302" s="82"/>
      <c r="D302" s="98" t="e">
        <f t="shared" ref="D302:J302" si="71">D292+D301</f>
        <v>#REF!</v>
      </c>
      <c r="E302" s="98" t="e">
        <f t="shared" si="71"/>
        <v>#REF!</v>
      </c>
      <c r="F302" s="98" t="e">
        <f t="shared" si="71"/>
        <v>#REF!</v>
      </c>
      <c r="G302" s="98" t="e">
        <f t="shared" si="71"/>
        <v>#REF!</v>
      </c>
      <c r="H302" s="98" t="e">
        <f t="shared" si="71"/>
        <v>#REF!</v>
      </c>
      <c r="I302" s="98" t="e">
        <f t="shared" si="71"/>
        <v>#REF!</v>
      </c>
      <c r="J302" s="98" t="e">
        <f t="shared" si="71"/>
        <v>#REF!</v>
      </c>
      <c r="K302" s="79"/>
      <c r="L302" s="79"/>
      <c r="M302" s="79"/>
      <c r="N302" s="79"/>
      <c r="O302" s="79"/>
      <c r="P302" s="79"/>
      <c r="Q302" s="79"/>
      <c r="R302" s="79"/>
      <c r="S302" s="79"/>
      <c r="T302" s="79"/>
    </row>
    <row r="303" spans="1:20">
      <c r="A303" s="80"/>
      <c r="B303" s="80"/>
      <c r="C303" s="80"/>
      <c r="D303" s="93"/>
      <c r="E303" s="93"/>
      <c r="F303" s="93"/>
      <c r="G303" s="93"/>
      <c r="H303" s="93"/>
      <c r="I303" s="80"/>
      <c r="J303" s="80"/>
      <c r="K303" s="79"/>
      <c r="L303" s="79"/>
      <c r="M303" s="79"/>
      <c r="N303" s="79"/>
      <c r="O303" s="79"/>
      <c r="P303" s="79"/>
      <c r="Q303" s="79"/>
      <c r="R303" s="79"/>
      <c r="S303" s="79"/>
      <c r="T303" s="79"/>
    </row>
    <row r="304" spans="1:20">
      <c r="A304" s="82"/>
      <c r="B304" s="82"/>
      <c r="C304" s="82"/>
      <c r="D304" s="93"/>
      <c r="E304" s="93"/>
      <c r="F304" s="93"/>
      <c r="G304" s="93"/>
      <c r="H304" s="93"/>
      <c r="I304" s="80"/>
      <c r="J304" s="80"/>
      <c r="K304" s="79"/>
      <c r="L304" s="79"/>
      <c r="M304" s="79"/>
      <c r="N304" s="79"/>
      <c r="O304" s="79"/>
      <c r="P304" s="79"/>
      <c r="Q304" s="79"/>
      <c r="R304" s="79"/>
      <c r="S304" s="79"/>
      <c r="T304" s="79"/>
    </row>
    <row r="305" spans="1:20">
      <c r="A305" s="82" t="s">
        <v>304</v>
      </c>
      <c r="B305" s="82"/>
      <c r="C305" s="82"/>
      <c r="D305" s="98" t="e">
        <f t="shared" ref="D305:J305" si="72">D229-D302</f>
        <v>#REF!</v>
      </c>
      <c r="E305" s="98" t="e">
        <f t="shared" si="72"/>
        <v>#REF!</v>
      </c>
      <c r="F305" s="98" t="e">
        <f t="shared" si="72"/>
        <v>#REF!</v>
      </c>
      <c r="G305" s="98" t="e">
        <f t="shared" si="72"/>
        <v>#REF!</v>
      </c>
      <c r="H305" s="98" t="e">
        <f t="shared" si="72"/>
        <v>#REF!</v>
      </c>
      <c r="I305" s="98" t="e">
        <f t="shared" si="72"/>
        <v>#REF!</v>
      </c>
      <c r="J305" s="98" t="e">
        <f t="shared" si="72"/>
        <v>#REF!</v>
      </c>
      <c r="K305" s="79"/>
      <c r="L305" s="79"/>
      <c r="M305" s="79"/>
      <c r="N305" s="79"/>
      <c r="O305" s="79"/>
      <c r="P305" s="79"/>
      <c r="Q305" s="79"/>
      <c r="R305" s="79"/>
      <c r="S305" s="79"/>
      <c r="T305" s="79"/>
    </row>
    <row r="306" spans="1:20">
      <c r="A306" s="79"/>
      <c r="B306" s="79"/>
      <c r="C306" s="79"/>
      <c r="D306" s="79"/>
      <c r="E306" s="79"/>
      <c r="F306" s="79"/>
      <c r="G306" s="79"/>
      <c r="H306" s="79"/>
      <c r="I306" s="79"/>
      <c r="J306" s="79"/>
    </row>
    <row r="307" spans="1:20">
      <c r="A307" s="79" t="s">
        <v>48</v>
      </c>
      <c r="B307" s="79"/>
      <c r="C307" s="79"/>
      <c r="D307" s="79"/>
      <c r="E307" s="79"/>
      <c r="F307" s="79"/>
      <c r="G307" s="79"/>
      <c r="H307" s="79"/>
      <c r="I307" s="79"/>
      <c r="J307" s="79"/>
    </row>
    <row r="308" spans="1:20">
      <c r="A308" s="677" t="s">
        <v>402</v>
      </c>
      <c r="B308" s="677"/>
      <c r="C308" s="677"/>
      <c r="D308" s="677"/>
      <c r="E308" s="677"/>
      <c r="F308" s="677"/>
      <c r="G308" s="677"/>
      <c r="H308" s="677"/>
      <c r="I308" s="677"/>
      <c r="J308" s="677"/>
    </row>
    <row r="310" spans="1:20">
      <c r="A310" t="s">
        <v>479</v>
      </c>
    </row>
    <row r="311" spans="1:20">
      <c r="A311">
        <v>1</v>
      </c>
      <c r="B311" t="s">
        <v>489</v>
      </c>
    </row>
    <row r="312" spans="1:20">
      <c r="A312">
        <v>2</v>
      </c>
      <c r="B312" t="s">
        <v>490</v>
      </c>
    </row>
    <row r="313" spans="1:20">
      <c r="A313">
        <v>3</v>
      </c>
      <c r="B313" s="79" t="s">
        <v>536</v>
      </c>
    </row>
  </sheetData>
  <mergeCells count="5">
    <mergeCell ref="A170:J170"/>
    <mergeCell ref="A2:H2"/>
    <mergeCell ref="A308:J308"/>
    <mergeCell ref="F4:H4"/>
    <mergeCell ref="A3:H3"/>
  </mergeCells>
  <pageMargins left="0.7" right="0.7" top="0.75" bottom="0.75" header="0.3" footer="0.3"/>
  <pageSetup paperSize="9" scale="45" orientation="portrait" r:id="rId1"/>
  <rowBreaks count="3" manualBreakCount="3">
    <brk id="61" max="9" man="1"/>
    <brk id="140" max="9" man="1"/>
    <brk id="238"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view="pageBreakPreview" topLeftCell="A32" zoomScale="70" zoomScaleSheetLayoutView="70" workbookViewId="0">
      <selection activeCell="C53" sqref="C53"/>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676" t="s">
        <v>533</v>
      </c>
      <c r="B3" s="676"/>
      <c r="C3" s="676"/>
      <c r="D3" s="676"/>
      <c r="E3" s="676"/>
      <c r="F3" s="676"/>
      <c r="G3" s="676"/>
      <c r="H3" s="676"/>
    </row>
    <row r="4" spans="1:8" ht="18.75">
      <c r="A4" s="676" t="s">
        <v>534</v>
      </c>
      <c r="B4" s="676"/>
      <c r="C4" s="676"/>
      <c r="D4" s="676"/>
      <c r="E4" s="676"/>
      <c r="F4" s="676"/>
      <c r="G4" s="676"/>
      <c r="H4" s="676"/>
    </row>
    <row r="5" spans="1:8">
      <c r="A5" s="79" t="s">
        <v>156</v>
      </c>
      <c r="B5" s="208">
        <v>1</v>
      </c>
      <c r="C5" s="79" t="s">
        <v>448</v>
      </c>
      <c r="D5" s="79"/>
      <c r="E5" s="79"/>
      <c r="F5" s="79"/>
      <c r="G5" s="79"/>
      <c r="H5" s="79"/>
    </row>
    <row r="6" spans="1:8">
      <c r="A6" s="79" t="s">
        <v>157</v>
      </c>
      <c r="B6" s="236">
        <v>8</v>
      </c>
      <c r="C6" s="79"/>
      <c r="D6" s="79"/>
      <c r="E6" s="79"/>
      <c r="F6" s="79"/>
      <c r="G6" s="79"/>
      <c r="H6" s="79"/>
    </row>
    <row r="7" spans="1:8">
      <c r="A7" s="79"/>
      <c r="B7" s="236"/>
      <c r="C7" s="79"/>
      <c r="D7" s="79"/>
      <c r="E7" s="79"/>
      <c r="F7" s="79"/>
      <c r="G7" s="79"/>
      <c r="H7" s="79"/>
    </row>
    <row r="8" spans="1:8">
      <c r="A8" s="79"/>
      <c r="B8" s="236"/>
      <c r="C8" s="79"/>
      <c r="D8" s="79"/>
      <c r="E8" s="79"/>
      <c r="F8" s="79"/>
      <c r="G8" s="79"/>
      <c r="H8" s="79"/>
    </row>
    <row r="9" spans="1:8">
      <c r="A9" s="79"/>
      <c r="B9" s="79"/>
      <c r="C9" s="79"/>
      <c r="D9" s="79"/>
      <c r="E9" s="79"/>
      <c r="F9" s="79"/>
      <c r="G9" s="79"/>
      <c r="H9" s="79"/>
    </row>
    <row r="10" spans="1:8">
      <c r="A10" s="79"/>
      <c r="B10" s="79"/>
      <c r="C10" s="79"/>
      <c r="D10" s="79"/>
      <c r="E10" s="79"/>
      <c r="F10" s="79"/>
      <c r="G10" s="79"/>
      <c r="H10" s="79"/>
    </row>
    <row r="11" spans="1:8">
      <c r="A11" s="69" t="s">
        <v>0</v>
      </c>
      <c r="B11" s="70" t="s">
        <v>2</v>
      </c>
      <c r="C11" s="70" t="s">
        <v>3</v>
      </c>
      <c r="D11" s="70" t="s">
        <v>4</v>
      </c>
      <c r="E11" s="70" t="s">
        <v>5</v>
      </c>
      <c r="F11" s="70" t="s">
        <v>6</v>
      </c>
      <c r="G11" s="70" t="s">
        <v>163</v>
      </c>
      <c r="H11" s="70" t="s">
        <v>162</v>
      </c>
    </row>
    <row r="12" spans="1:8">
      <c r="A12" s="80" t="s">
        <v>164</v>
      </c>
      <c r="B12" s="268">
        <f t="shared" ref="B12:H12" si="0">B39/($B$5*$B$6)</f>
        <v>0</v>
      </c>
      <c r="C12" s="268">
        <f t="shared" si="0"/>
        <v>0</v>
      </c>
      <c r="D12" s="268">
        <f t="shared" si="0"/>
        <v>0</v>
      </c>
      <c r="E12" s="268">
        <f t="shared" si="0"/>
        <v>0</v>
      </c>
      <c r="F12" s="268">
        <f t="shared" si="0"/>
        <v>0</v>
      </c>
      <c r="G12" s="268">
        <f t="shared" si="0"/>
        <v>0</v>
      </c>
      <c r="H12" s="268">
        <f t="shared" si="0"/>
        <v>0</v>
      </c>
    </row>
    <row r="13" spans="1:8">
      <c r="A13" s="80" t="s">
        <v>939</v>
      </c>
      <c r="B13" s="80">
        <v>0</v>
      </c>
      <c r="C13" s="80">
        <v>0</v>
      </c>
      <c r="D13" s="80">
        <v>0</v>
      </c>
      <c r="E13" s="80">
        <v>0</v>
      </c>
      <c r="F13" s="80">
        <v>0</v>
      </c>
      <c r="G13" s="80">
        <v>0</v>
      </c>
      <c r="H13" s="80">
        <v>0</v>
      </c>
    </row>
    <row r="14" spans="1:8">
      <c r="A14" s="80" t="s">
        <v>635</v>
      </c>
      <c r="B14" s="80">
        <v>0</v>
      </c>
      <c r="C14" s="80">
        <v>0</v>
      </c>
      <c r="D14" s="80">
        <v>0</v>
      </c>
      <c r="E14" s="80">
        <v>0</v>
      </c>
      <c r="F14" s="80">
        <v>0</v>
      </c>
      <c r="G14" s="80">
        <v>0</v>
      </c>
      <c r="H14" s="80">
        <v>0</v>
      </c>
    </row>
    <row r="15" spans="1:8">
      <c r="A15" s="80" t="s">
        <v>634</v>
      </c>
      <c r="B15" s="80">
        <v>0</v>
      </c>
      <c r="C15" s="80">
        <v>0</v>
      </c>
      <c r="D15" s="80">
        <v>0</v>
      </c>
      <c r="E15" s="80">
        <v>0</v>
      </c>
      <c r="F15" s="80">
        <v>0</v>
      </c>
      <c r="G15" s="80">
        <v>0</v>
      </c>
      <c r="H15" s="80">
        <v>0</v>
      </c>
    </row>
    <row r="16" spans="1:8">
      <c r="A16" s="80" t="s">
        <v>455</v>
      </c>
      <c r="B16" s="80">
        <v>0</v>
      </c>
      <c r="C16" s="80">
        <v>0</v>
      </c>
      <c r="D16" s="80">
        <v>0</v>
      </c>
      <c r="E16" s="80">
        <v>0</v>
      </c>
      <c r="F16" s="80">
        <v>0</v>
      </c>
      <c r="G16" s="80">
        <v>0</v>
      </c>
      <c r="H16" s="80">
        <v>0</v>
      </c>
    </row>
    <row r="17" spans="1:8">
      <c r="A17" s="80" t="s">
        <v>940</v>
      </c>
      <c r="B17" s="80">
        <v>0</v>
      </c>
      <c r="C17" s="80">
        <v>0</v>
      </c>
      <c r="D17" s="80">
        <v>0</v>
      </c>
      <c r="E17" s="80">
        <v>0</v>
      </c>
      <c r="F17" s="80">
        <v>0</v>
      </c>
      <c r="G17" s="80">
        <v>0</v>
      </c>
      <c r="H17" s="80">
        <v>0</v>
      </c>
    </row>
    <row r="18" spans="1:8">
      <c r="A18" s="80">
        <v>0</v>
      </c>
      <c r="B18" s="80">
        <v>0</v>
      </c>
      <c r="C18" s="80">
        <v>0</v>
      </c>
      <c r="D18" s="80">
        <v>0</v>
      </c>
      <c r="E18" s="80">
        <v>0</v>
      </c>
      <c r="F18" s="80">
        <v>0</v>
      </c>
      <c r="G18" s="80">
        <v>0</v>
      </c>
      <c r="H18" s="80">
        <v>0</v>
      </c>
    </row>
    <row r="19" spans="1:8">
      <c r="A19" s="80">
        <v>0</v>
      </c>
      <c r="B19" s="80">
        <v>0</v>
      </c>
      <c r="C19" s="80">
        <v>0</v>
      </c>
      <c r="D19" s="80">
        <v>0</v>
      </c>
      <c r="E19" s="80">
        <v>0</v>
      </c>
      <c r="F19" s="80">
        <v>0</v>
      </c>
      <c r="G19" s="80">
        <v>0</v>
      </c>
      <c r="H19" s="80">
        <v>0</v>
      </c>
    </row>
    <row r="20" spans="1:8">
      <c r="A20" s="80">
        <v>0</v>
      </c>
      <c r="B20" s="80">
        <v>0</v>
      </c>
      <c r="C20" s="80">
        <v>0</v>
      </c>
      <c r="D20" s="80">
        <v>0</v>
      </c>
      <c r="E20" s="80">
        <v>0</v>
      </c>
      <c r="F20" s="80">
        <v>0</v>
      </c>
      <c r="G20" s="80">
        <v>0</v>
      </c>
      <c r="H20" s="80">
        <v>0</v>
      </c>
    </row>
    <row r="21" spans="1:8">
      <c r="A21" s="80">
        <v>0</v>
      </c>
      <c r="B21" s="80">
        <v>0</v>
      </c>
      <c r="C21" s="80">
        <v>0</v>
      </c>
      <c r="D21" s="80">
        <v>0</v>
      </c>
      <c r="E21" s="80">
        <v>0</v>
      </c>
      <c r="F21" s="80">
        <v>0</v>
      </c>
      <c r="G21" s="80">
        <v>0</v>
      </c>
      <c r="H21" s="80">
        <v>0</v>
      </c>
    </row>
    <row r="22" spans="1:8">
      <c r="A22" s="80" t="s">
        <v>939</v>
      </c>
      <c r="B22" s="80">
        <v>0</v>
      </c>
      <c r="C22" s="80">
        <v>0</v>
      </c>
      <c r="D22" s="80">
        <v>0</v>
      </c>
      <c r="E22" s="80">
        <v>0</v>
      </c>
      <c r="F22" s="80">
        <v>0</v>
      </c>
      <c r="G22" s="80">
        <v>0</v>
      </c>
      <c r="H22" s="80">
        <v>0</v>
      </c>
    </row>
    <row r="23" spans="1:8">
      <c r="A23" s="80" t="s">
        <v>635</v>
      </c>
      <c r="B23" s="80">
        <v>0</v>
      </c>
      <c r="C23" s="80">
        <v>0</v>
      </c>
      <c r="D23" s="80">
        <v>0</v>
      </c>
      <c r="E23" s="80">
        <v>0</v>
      </c>
      <c r="F23" s="80">
        <v>0</v>
      </c>
      <c r="G23" s="80">
        <v>0</v>
      </c>
      <c r="H23" s="80">
        <v>0</v>
      </c>
    </row>
    <row r="24" spans="1:8">
      <c r="A24" s="80" t="s">
        <v>634</v>
      </c>
      <c r="B24" s="80">
        <v>0</v>
      </c>
      <c r="C24" s="80">
        <v>0</v>
      </c>
      <c r="D24" s="80">
        <v>0</v>
      </c>
      <c r="E24" s="80">
        <v>0</v>
      </c>
      <c r="F24" s="80">
        <v>0</v>
      </c>
      <c r="G24" s="80">
        <v>0</v>
      </c>
      <c r="H24" s="80">
        <v>0</v>
      </c>
    </row>
    <row r="25" spans="1:8">
      <c r="A25" s="80" t="s">
        <v>455</v>
      </c>
      <c r="B25" s="80">
        <v>0</v>
      </c>
      <c r="C25" s="80">
        <v>0</v>
      </c>
      <c r="D25" s="80">
        <v>0</v>
      </c>
      <c r="E25" s="80">
        <v>0</v>
      </c>
      <c r="F25" s="80">
        <v>0</v>
      </c>
      <c r="G25" s="80">
        <v>0</v>
      </c>
      <c r="H25" s="80">
        <v>0</v>
      </c>
    </row>
    <row r="26" spans="1:8">
      <c r="A26" s="80" t="s">
        <v>941</v>
      </c>
      <c r="B26" s="80">
        <v>0</v>
      </c>
      <c r="C26" s="80">
        <v>0</v>
      </c>
      <c r="D26" s="80">
        <v>0</v>
      </c>
      <c r="E26" s="80">
        <v>0</v>
      </c>
      <c r="F26" s="80">
        <v>0</v>
      </c>
      <c r="G26" s="80">
        <v>0</v>
      </c>
      <c r="H26" s="80">
        <v>0</v>
      </c>
    </row>
    <row r="27" spans="1:8">
      <c r="A27" s="80">
        <v>0</v>
      </c>
      <c r="B27" s="80">
        <v>0</v>
      </c>
      <c r="C27" s="80">
        <v>0</v>
      </c>
      <c r="D27" s="80">
        <v>0</v>
      </c>
      <c r="E27" s="80">
        <v>0</v>
      </c>
      <c r="F27" s="80">
        <v>0</v>
      </c>
      <c r="G27" s="80">
        <v>0</v>
      </c>
      <c r="H27" s="80">
        <v>0</v>
      </c>
    </row>
    <row r="28" spans="1:8">
      <c r="A28" s="80">
        <v>0</v>
      </c>
      <c r="B28" s="80">
        <v>0</v>
      </c>
      <c r="C28" s="80">
        <v>0</v>
      </c>
      <c r="D28" s="80">
        <v>0</v>
      </c>
      <c r="E28" s="80">
        <v>0</v>
      </c>
      <c r="F28" s="80">
        <v>0</v>
      </c>
      <c r="G28" s="80">
        <v>0</v>
      </c>
      <c r="H28" s="80">
        <v>0</v>
      </c>
    </row>
    <row r="29" spans="1:8">
      <c r="A29" s="80">
        <v>0</v>
      </c>
      <c r="B29" s="80">
        <v>0</v>
      </c>
      <c r="C29" s="80">
        <v>0</v>
      </c>
      <c r="D29" s="80">
        <v>0</v>
      </c>
      <c r="E29" s="80">
        <v>0</v>
      </c>
      <c r="F29" s="80">
        <v>0</v>
      </c>
      <c r="G29" s="80">
        <v>0</v>
      </c>
      <c r="H29" s="80">
        <v>0</v>
      </c>
    </row>
    <row r="30" spans="1:8">
      <c r="A30" s="80">
        <v>0</v>
      </c>
      <c r="B30" s="80">
        <v>0</v>
      </c>
      <c r="C30" s="80">
        <v>0</v>
      </c>
      <c r="D30" s="80">
        <v>0</v>
      </c>
      <c r="E30" s="80">
        <v>0</v>
      </c>
      <c r="F30" s="80">
        <v>0</v>
      </c>
      <c r="G30" s="80">
        <v>0</v>
      </c>
      <c r="H30" s="80">
        <v>0</v>
      </c>
    </row>
    <row r="31" spans="1:8">
      <c r="A31" s="80">
        <v>0</v>
      </c>
      <c r="B31" s="80">
        <v>0</v>
      </c>
      <c r="C31" s="80">
        <v>0</v>
      </c>
      <c r="D31" s="80">
        <v>0</v>
      </c>
      <c r="E31" s="80">
        <v>0</v>
      </c>
      <c r="F31" s="80">
        <v>0</v>
      </c>
      <c r="G31" s="80">
        <v>0</v>
      </c>
      <c r="H31" s="80">
        <v>0</v>
      </c>
    </row>
    <row r="32" spans="1:8">
      <c r="A32" s="80">
        <v>0</v>
      </c>
      <c r="B32" s="80">
        <v>0</v>
      </c>
      <c r="C32" s="80">
        <v>0</v>
      </c>
      <c r="D32" s="80">
        <v>0</v>
      </c>
      <c r="E32" s="80">
        <v>0</v>
      </c>
      <c r="F32" s="80">
        <v>0</v>
      </c>
      <c r="G32" s="80">
        <v>0</v>
      </c>
      <c r="H32" s="80">
        <v>0</v>
      </c>
    </row>
    <row r="33" spans="1:8">
      <c r="A33" s="80">
        <v>0</v>
      </c>
      <c r="B33" s="80">
        <v>0</v>
      </c>
      <c r="C33" s="80">
        <v>0</v>
      </c>
      <c r="D33" s="80">
        <v>0</v>
      </c>
      <c r="E33" s="80">
        <v>0</v>
      </c>
      <c r="F33" s="80">
        <v>0</v>
      </c>
      <c r="G33" s="80">
        <v>0</v>
      </c>
      <c r="H33" s="80">
        <v>0</v>
      </c>
    </row>
    <row r="34" spans="1:8">
      <c r="A34" s="80" t="s">
        <v>456</v>
      </c>
      <c r="B34" s="80">
        <v>0</v>
      </c>
      <c r="C34" s="80">
        <v>0</v>
      </c>
      <c r="D34" s="80">
        <v>0</v>
      </c>
      <c r="E34" s="80">
        <v>0</v>
      </c>
      <c r="F34" s="80">
        <v>0</v>
      </c>
      <c r="G34" s="80">
        <v>0</v>
      </c>
      <c r="H34" s="80">
        <v>0</v>
      </c>
    </row>
    <row r="35" spans="1:8">
      <c r="A35" s="80" t="s">
        <v>942</v>
      </c>
      <c r="B35" s="80">
        <v>0</v>
      </c>
      <c r="C35" s="80">
        <v>0</v>
      </c>
      <c r="D35" s="80">
        <v>0</v>
      </c>
      <c r="E35" s="80">
        <v>0</v>
      </c>
      <c r="F35" s="80">
        <v>0</v>
      </c>
      <c r="G35" s="80">
        <v>0</v>
      </c>
      <c r="H35" s="80">
        <v>0</v>
      </c>
    </row>
    <row r="36" spans="1:8">
      <c r="A36" s="80" t="s">
        <v>943</v>
      </c>
      <c r="B36" s="80">
        <v>0</v>
      </c>
      <c r="C36" s="80">
        <v>0</v>
      </c>
      <c r="D36" s="80">
        <v>0</v>
      </c>
      <c r="E36" s="80">
        <v>0</v>
      </c>
      <c r="F36" s="80">
        <v>0</v>
      </c>
      <c r="G36" s="80">
        <v>0</v>
      </c>
      <c r="H36" s="80">
        <v>0</v>
      </c>
    </row>
    <row r="37" spans="1:8">
      <c r="A37" s="80" t="s">
        <v>944</v>
      </c>
      <c r="B37" s="80">
        <v>0</v>
      </c>
      <c r="C37" s="80">
        <v>0</v>
      </c>
      <c r="D37" s="80">
        <v>0</v>
      </c>
      <c r="E37" s="80">
        <v>0</v>
      </c>
      <c r="F37" s="80">
        <v>0</v>
      </c>
      <c r="G37" s="80">
        <v>0</v>
      </c>
      <c r="H37" s="80">
        <v>0</v>
      </c>
    </row>
    <row r="38" spans="1:8">
      <c r="A38" s="80"/>
      <c r="B38" s="80"/>
      <c r="C38" s="80"/>
      <c r="D38" s="80"/>
      <c r="E38" s="80"/>
      <c r="F38" s="80"/>
      <c r="G38" s="80"/>
      <c r="H38" s="80"/>
    </row>
    <row r="39" spans="1:8">
      <c r="A39" s="80" t="s">
        <v>441</v>
      </c>
      <c r="B39" s="80">
        <f>SUM(B13:B37)</f>
        <v>0</v>
      </c>
      <c r="C39" s="80">
        <f t="shared" ref="C39:H39" si="1">SUM(C13:C37)</f>
        <v>0</v>
      </c>
      <c r="D39" s="80">
        <f t="shared" si="1"/>
        <v>0</v>
      </c>
      <c r="E39" s="80">
        <f t="shared" si="1"/>
        <v>0</v>
      </c>
      <c r="F39" s="80">
        <f t="shared" si="1"/>
        <v>0</v>
      </c>
      <c r="G39" s="80">
        <f t="shared" si="1"/>
        <v>0</v>
      </c>
      <c r="H39" s="80">
        <f t="shared" si="1"/>
        <v>0</v>
      </c>
    </row>
    <row r="40" spans="1:8">
      <c r="A40" s="276" t="s">
        <v>160</v>
      </c>
      <c r="B40" s="235">
        <v>0</v>
      </c>
      <c r="C40" s="235">
        <f>B40</f>
        <v>0</v>
      </c>
      <c r="D40" s="235">
        <f t="shared" ref="D40:H40" si="2">C40</f>
        <v>0</v>
      </c>
      <c r="E40" s="235">
        <f t="shared" si="2"/>
        <v>0</v>
      </c>
      <c r="F40" s="235">
        <f t="shared" si="2"/>
        <v>0</v>
      </c>
      <c r="G40" s="235">
        <f t="shared" si="2"/>
        <v>0</v>
      </c>
      <c r="H40" s="235">
        <f t="shared" si="2"/>
        <v>0</v>
      </c>
    </row>
    <row r="41" spans="1:8">
      <c r="A41" s="84" t="s">
        <v>449</v>
      </c>
      <c r="B41" s="277">
        <f>1-B40</f>
        <v>1</v>
      </c>
      <c r="C41" s="277">
        <f t="shared" ref="C41:H41" si="3">1-C40</f>
        <v>1</v>
      </c>
      <c r="D41" s="277">
        <f t="shared" si="3"/>
        <v>1</v>
      </c>
      <c r="E41" s="277">
        <f t="shared" si="3"/>
        <v>1</v>
      </c>
      <c r="F41" s="277">
        <f t="shared" si="3"/>
        <v>1</v>
      </c>
      <c r="G41" s="277">
        <f t="shared" si="3"/>
        <v>1</v>
      </c>
      <c r="H41" s="277">
        <f t="shared" si="3"/>
        <v>1</v>
      </c>
    </row>
    <row r="42" spans="1:8">
      <c r="A42" s="82" t="s">
        <v>160</v>
      </c>
      <c r="B42" s="219">
        <f>B39*B40</f>
        <v>0</v>
      </c>
      <c r="C42" s="219">
        <f t="shared" ref="C42:H42" si="4">C39*C40</f>
        <v>0</v>
      </c>
      <c r="D42" s="219">
        <f t="shared" si="4"/>
        <v>0</v>
      </c>
      <c r="E42" s="219">
        <f t="shared" si="4"/>
        <v>0</v>
      </c>
      <c r="F42" s="219">
        <f t="shared" si="4"/>
        <v>0</v>
      </c>
      <c r="G42" s="219">
        <f t="shared" si="4"/>
        <v>0</v>
      </c>
      <c r="H42" s="219">
        <f t="shared" si="4"/>
        <v>0</v>
      </c>
    </row>
    <row r="43" spans="1:8">
      <c r="A43" s="82" t="s">
        <v>161</v>
      </c>
      <c r="B43" s="98"/>
      <c r="C43" s="98"/>
      <c r="D43" s="98"/>
      <c r="E43" s="98"/>
      <c r="F43" s="98"/>
      <c r="G43" s="98"/>
      <c r="H43" s="98"/>
    </row>
    <row r="44" spans="1:8">
      <c r="A44" s="80" t="str">
        <f t="shared" ref="A44:A61" si="5">A13</f>
        <v>Onion</v>
      </c>
      <c r="B44" s="81">
        <f t="shared" ref="B44:B61" si="6">B13*$B$41</f>
        <v>0</v>
      </c>
      <c r="C44" s="81">
        <f t="shared" ref="C44:C61" si="7">C13*$C$41</f>
        <v>0</v>
      </c>
      <c r="D44" s="81">
        <f t="shared" ref="D44:D61" si="8">D13*$D$41</f>
        <v>0</v>
      </c>
      <c r="E44" s="81">
        <f t="shared" ref="E44:E61" si="9">E13*$E$41</f>
        <v>0</v>
      </c>
      <c r="F44" s="81">
        <f t="shared" ref="F44:F61" si="10">F13*$F$41</f>
        <v>0</v>
      </c>
      <c r="G44" s="81">
        <f t="shared" ref="G44:G61" si="11">G13*$G$41</f>
        <v>0</v>
      </c>
      <c r="H44" s="81">
        <f t="shared" ref="H44:H61" si="12">H13*$H$41</f>
        <v>0</v>
      </c>
    </row>
    <row r="45" spans="1:8">
      <c r="A45" s="80" t="str">
        <f t="shared" si="5"/>
        <v>Tomato</v>
      </c>
      <c r="B45" s="81">
        <f t="shared" si="6"/>
        <v>0</v>
      </c>
      <c r="C45" s="81">
        <f t="shared" si="7"/>
        <v>0</v>
      </c>
      <c r="D45" s="81">
        <f t="shared" si="8"/>
        <v>0</v>
      </c>
      <c r="E45" s="81">
        <f t="shared" si="9"/>
        <v>0</v>
      </c>
      <c r="F45" s="81">
        <f t="shared" si="10"/>
        <v>0</v>
      </c>
      <c r="G45" s="81">
        <f t="shared" si="11"/>
        <v>0</v>
      </c>
      <c r="H45" s="81">
        <f t="shared" si="12"/>
        <v>0</v>
      </c>
    </row>
    <row r="46" spans="1:8">
      <c r="A46" s="80" t="str">
        <f t="shared" si="5"/>
        <v>Okra</v>
      </c>
      <c r="B46" s="81">
        <f t="shared" si="6"/>
        <v>0</v>
      </c>
      <c r="C46" s="81">
        <f t="shared" si="7"/>
        <v>0</v>
      </c>
      <c r="D46" s="81">
        <f t="shared" si="8"/>
        <v>0</v>
      </c>
      <c r="E46" s="81">
        <f t="shared" si="9"/>
        <v>0</v>
      </c>
      <c r="F46" s="81">
        <f t="shared" si="10"/>
        <v>0</v>
      </c>
      <c r="G46" s="81">
        <f t="shared" si="11"/>
        <v>0</v>
      </c>
      <c r="H46" s="81">
        <f t="shared" si="12"/>
        <v>0</v>
      </c>
    </row>
    <row r="47" spans="1:8">
      <c r="A47" s="80" t="str">
        <f t="shared" si="5"/>
        <v>Chilli</v>
      </c>
      <c r="B47" s="81">
        <f t="shared" si="6"/>
        <v>0</v>
      </c>
      <c r="C47" s="81">
        <f t="shared" si="7"/>
        <v>0</v>
      </c>
      <c r="D47" s="81">
        <f t="shared" si="8"/>
        <v>0</v>
      </c>
      <c r="E47" s="81">
        <f t="shared" si="9"/>
        <v>0</v>
      </c>
      <c r="F47" s="81">
        <f t="shared" si="10"/>
        <v>0</v>
      </c>
      <c r="G47" s="81">
        <f t="shared" si="11"/>
        <v>0</v>
      </c>
      <c r="H47" s="81">
        <f t="shared" si="12"/>
        <v>0</v>
      </c>
    </row>
    <row r="48" spans="1:8">
      <c r="A48" s="80" t="str">
        <f t="shared" si="5"/>
        <v>Potato</v>
      </c>
      <c r="B48" s="81">
        <f t="shared" si="6"/>
        <v>0</v>
      </c>
      <c r="C48" s="81">
        <f t="shared" si="7"/>
        <v>0</v>
      </c>
      <c r="D48" s="81">
        <f t="shared" si="8"/>
        <v>0</v>
      </c>
      <c r="E48" s="81">
        <f t="shared" si="9"/>
        <v>0</v>
      </c>
      <c r="F48" s="81">
        <f t="shared" si="10"/>
        <v>0</v>
      </c>
      <c r="G48" s="81">
        <f t="shared" si="11"/>
        <v>0</v>
      </c>
      <c r="H48" s="81">
        <f t="shared" si="12"/>
        <v>0</v>
      </c>
    </row>
    <row r="49" spans="1:8">
      <c r="A49" s="80">
        <f t="shared" si="5"/>
        <v>0</v>
      </c>
      <c r="B49" s="81">
        <f t="shared" si="6"/>
        <v>0</v>
      </c>
      <c r="C49" s="81">
        <f t="shared" si="7"/>
        <v>0</v>
      </c>
      <c r="D49" s="81">
        <f t="shared" si="8"/>
        <v>0</v>
      </c>
      <c r="E49" s="81">
        <f t="shared" si="9"/>
        <v>0</v>
      </c>
      <c r="F49" s="81">
        <f t="shared" si="10"/>
        <v>0</v>
      </c>
      <c r="G49" s="81">
        <f t="shared" si="11"/>
        <v>0</v>
      </c>
      <c r="H49" s="81">
        <f t="shared" si="12"/>
        <v>0</v>
      </c>
    </row>
    <row r="50" spans="1:8">
      <c r="A50" s="80">
        <f t="shared" si="5"/>
        <v>0</v>
      </c>
      <c r="B50" s="81">
        <f t="shared" si="6"/>
        <v>0</v>
      </c>
      <c r="C50" s="81">
        <f t="shared" si="7"/>
        <v>0</v>
      </c>
      <c r="D50" s="81">
        <f t="shared" si="8"/>
        <v>0</v>
      </c>
      <c r="E50" s="81">
        <f t="shared" si="9"/>
        <v>0</v>
      </c>
      <c r="F50" s="81">
        <f t="shared" si="10"/>
        <v>0</v>
      </c>
      <c r="G50" s="81">
        <f t="shared" si="11"/>
        <v>0</v>
      </c>
      <c r="H50" s="81">
        <f t="shared" si="12"/>
        <v>0</v>
      </c>
    </row>
    <row r="51" spans="1:8">
      <c r="A51" s="80">
        <f t="shared" si="5"/>
        <v>0</v>
      </c>
      <c r="B51" s="81">
        <f t="shared" si="6"/>
        <v>0</v>
      </c>
      <c r="C51" s="81">
        <f t="shared" si="7"/>
        <v>0</v>
      </c>
      <c r="D51" s="81">
        <f t="shared" si="8"/>
        <v>0</v>
      </c>
      <c r="E51" s="81">
        <f t="shared" si="9"/>
        <v>0</v>
      </c>
      <c r="F51" s="81">
        <f t="shared" si="10"/>
        <v>0</v>
      </c>
      <c r="G51" s="81">
        <f t="shared" si="11"/>
        <v>0</v>
      </c>
      <c r="H51" s="81">
        <f t="shared" si="12"/>
        <v>0</v>
      </c>
    </row>
    <row r="52" spans="1:8">
      <c r="A52" s="80">
        <f t="shared" si="5"/>
        <v>0</v>
      </c>
      <c r="B52" s="81">
        <f t="shared" si="6"/>
        <v>0</v>
      </c>
      <c r="C52" s="81">
        <f t="shared" si="7"/>
        <v>0</v>
      </c>
      <c r="D52" s="81">
        <f t="shared" si="8"/>
        <v>0</v>
      </c>
      <c r="E52" s="81">
        <f t="shared" si="9"/>
        <v>0</v>
      </c>
      <c r="F52" s="81">
        <f t="shared" si="10"/>
        <v>0</v>
      </c>
      <c r="G52" s="81">
        <f t="shared" si="11"/>
        <v>0</v>
      </c>
      <c r="H52" s="81">
        <f t="shared" si="12"/>
        <v>0</v>
      </c>
    </row>
    <row r="53" spans="1:8">
      <c r="A53" s="80" t="str">
        <f t="shared" si="5"/>
        <v>Onion</v>
      </c>
      <c r="B53" s="81">
        <f t="shared" si="6"/>
        <v>0</v>
      </c>
      <c r="C53" s="81">
        <f t="shared" si="7"/>
        <v>0</v>
      </c>
      <c r="D53" s="81">
        <f t="shared" si="8"/>
        <v>0</v>
      </c>
      <c r="E53" s="81">
        <f t="shared" si="9"/>
        <v>0</v>
      </c>
      <c r="F53" s="81">
        <f t="shared" si="10"/>
        <v>0</v>
      </c>
      <c r="G53" s="81">
        <f t="shared" si="11"/>
        <v>0</v>
      </c>
      <c r="H53" s="81">
        <f t="shared" si="12"/>
        <v>0</v>
      </c>
    </row>
    <row r="54" spans="1:8">
      <c r="A54" s="80" t="str">
        <f t="shared" si="5"/>
        <v>Tomato</v>
      </c>
      <c r="B54" s="81">
        <f t="shared" si="6"/>
        <v>0</v>
      </c>
      <c r="C54" s="81">
        <f t="shared" si="7"/>
        <v>0</v>
      </c>
      <c r="D54" s="81">
        <f t="shared" si="8"/>
        <v>0</v>
      </c>
      <c r="E54" s="81">
        <f t="shared" si="9"/>
        <v>0</v>
      </c>
      <c r="F54" s="81">
        <f t="shared" si="10"/>
        <v>0</v>
      </c>
      <c r="G54" s="81">
        <f t="shared" si="11"/>
        <v>0</v>
      </c>
      <c r="H54" s="81">
        <f t="shared" si="12"/>
        <v>0</v>
      </c>
    </row>
    <row r="55" spans="1:8">
      <c r="A55" s="80" t="str">
        <f t="shared" si="5"/>
        <v>Okra</v>
      </c>
      <c r="B55" s="81">
        <f t="shared" si="6"/>
        <v>0</v>
      </c>
      <c r="C55" s="81">
        <f t="shared" si="7"/>
        <v>0</v>
      </c>
      <c r="D55" s="81">
        <f t="shared" si="8"/>
        <v>0</v>
      </c>
      <c r="E55" s="81">
        <f t="shared" si="9"/>
        <v>0</v>
      </c>
      <c r="F55" s="81">
        <f t="shared" si="10"/>
        <v>0</v>
      </c>
      <c r="G55" s="81">
        <f t="shared" si="11"/>
        <v>0</v>
      </c>
      <c r="H55" s="81">
        <f t="shared" si="12"/>
        <v>0</v>
      </c>
    </row>
    <row r="56" spans="1:8">
      <c r="A56" s="80" t="str">
        <f t="shared" si="5"/>
        <v>Chilli</v>
      </c>
      <c r="B56" s="81">
        <f t="shared" si="6"/>
        <v>0</v>
      </c>
      <c r="C56" s="81">
        <f t="shared" si="7"/>
        <v>0</v>
      </c>
      <c r="D56" s="81">
        <f t="shared" si="8"/>
        <v>0</v>
      </c>
      <c r="E56" s="81">
        <f t="shared" si="9"/>
        <v>0</v>
      </c>
      <c r="F56" s="81">
        <f t="shared" si="10"/>
        <v>0</v>
      </c>
      <c r="G56" s="81">
        <f t="shared" si="11"/>
        <v>0</v>
      </c>
      <c r="H56" s="81">
        <f t="shared" si="12"/>
        <v>0</v>
      </c>
    </row>
    <row r="57" spans="1:8">
      <c r="A57" s="80" t="str">
        <f t="shared" si="5"/>
        <v>Brinjal</v>
      </c>
      <c r="B57" s="81">
        <f t="shared" si="6"/>
        <v>0</v>
      </c>
      <c r="C57" s="81">
        <f t="shared" si="7"/>
        <v>0</v>
      </c>
      <c r="D57" s="81">
        <f t="shared" si="8"/>
        <v>0</v>
      </c>
      <c r="E57" s="81">
        <f t="shared" si="9"/>
        <v>0</v>
      </c>
      <c r="F57" s="81">
        <f t="shared" si="10"/>
        <v>0</v>
      </c>
      <c r="G57" s="81">
        <f t="shared" si="11"/>
        <v>0</v>
      </c>
      <c r="H57" s="81">
        <f t="shared" si="12"/>
        <v>0</v>
      </c>
    </row>
    <row r="58" spans="1:8">
      <c r="A58" s="80">
        <f t="shared" si="5"/>
        <v>0</v>
      </c>
      <c r="B58" s="81">
        <f t="shared" si="6"/>
        <v>0</v>
      </c>
      <c r="C58" s="81">
        <f t="shared" si="7"/>
        <v>0</v>
      </c>
      <c r="D58" s="81">
        <f t="shared" si="8"/>
        <v>0</v>
      </c>
      <c r="E58" s="81">
        <f t="shared" si="9"/>
        <v>0</v>
      </c>
      <c r="F58" s="81">
        <f t="shared" si="10"/>
        <v>0</v>
      </c>
      <c r="G58" s="81">
        <f t="shared" si="11"/>
        <v>0</v>
      </c>
      <c r="H58" s="81">
        <f t="shared" si="12"/>
        <v>0</v>
      </c>
    </row>
    <row r="59" spans="1:8">
      <c r="A59" s="80">
        <f t="shared" si="5"/>
        <v>0</v>
      </c>
      <c r="B59" s="81">
        <f t="shared" si="6"/>
        <v>0</v>
      </c>
      <c r="C59" s="81">
        <f t="shared" si="7"/>
        <v>0</v>
      </c>
      <c r="D59" s="81">
        <f t="shared" si="8"/>
        <v>0</v>
      </c>
      <c r="E59" s="81">
        <f t="shared" si="9"/>
        <v>0</v>
      </c>
      <c r="F59" s="81">
        <f t="shared" si="10"/>
        <v>0</v>
      </c>
      <c r="G59" s="81">
        <f t="shared" si="11"/>
        <v>0</v>
      </c>
      <c r="H59" s="81">
        <f t="shared" si="12"/>
        <v>0</v>
      </c>
    </row>
    <row r="60" spans="1:8">
      <c r="A60" s="80">
        <f t="shared" si="5"/>
        <v>0</v>
      </c>
      <c r="B60" s="81">
        <f t="shared" si="6"/>
        <v>0</v>
      </c>
      <c r="C60" s="81">
        <f t="shared" si="7"/>
        <v>0</v>
      </c>
      <c r="D60" s="81">
        <f t="shared" si="8"/>
        <v>0</v>
      </c>
      <c r="E60" s="81">
        <f t="shared" si="9"/>
        <v>0</v>
      </c>
      <c r="F60" s="81">
        <f t="shared" si="10"/>
        <v>0</v>
      </c>
      <c r="G60" s="81">
        <f t="shared" si="11"/>
        <v>0</v>
      </c>
      <c r="H60" s="81">
        <f t="shared" si="12"/>
        <v>0</v>
      </c>
    </row>
    <row r="61" spans="1:8">
      <c r="A61" s="80">
        <f t="shared" si="5"/>
        <v>0</v>
      </c>
      <c r="B61" s="81">
        <f t="shared" si="6"/>
        <v>0</v>
      </c>
      <c r="C61" s="81">
        <f t="shared" si="7"/>
        <v>0</v>
      </c>
      <c r="D61" s="81">
        <f t="shared" si="8"/>
        <v>0</v>
      </c>
      <c r="E61" s="81">
        <f t="shared" si="9"/>
        <v>0</v>
      </c>
      <c r="F61" s="81">
        <f t="shared" si="10"/>
        <v>0</v>
      </c>
      <c r="G61" s="81">
        <f t="shared" si="11"/>
        <v>0</v>
      </c>
      <c r="H61" s="81">
        <f t="shared" si="12"/>
        <v>0</v>
      </c>
    </row>
    <row r="62" spans="1:8">
      <c r="A62" s="80" t="str">
        <f t="shared" ref="A62" si="13">A34</f>
        <v>Pomegranate</v>
      </c>
      <c r="B62" s="81">
        <f>B34*$B$41</f>
        <v>0</v>
      </c>
      <c r="C62" s="81">
        <f t="shared" ref="C62:H62" si="14">C34*$B$41</f>
        <v>0</v>
      </c>
      <c r="D62" s="81">
        <f t="shared" si="14"/>
        <v>0</v>
      </c>
      <c r="E62" s="81">
        <f t="shared" si="14"/>
        <v>0</v>
      </c>
      <c r="F62" s="81">
        <f t="shared" si="14"/>
        <v>0</v>
      </c>
      <c r="G62" s="81">
        <f t="shared" si="14"/>
        <v>0</v>
      </c>
      <c r="H62" s="81">
        <f t="shared" si="14"/>
        <v>0</v>
      </c>
    </row>
    <row r="63" spans="1:8">
      <c r="A63" s="80" t="str">
        <f>A35</f>
        <v>Custard Apple</v>
      </c>
      <c r="B63" s="81">
        <f t="shared" ref="B63:H65" si="15">B35*$B$41</f>
        <v>0</v>
      </c>
      <c r="C63" s="81">
        <f t="shared" si="15"/>
        <v>0</v>
      </c>
      <c r="D63" s="81">
        <f t="shared" si="15"/>
        <v>0</v>
      </c>
      <c r="E63" s="81">
        <f t="shared" si="15"/>
        <v>0</v>
      </c>
      <c r="F63" s="81">
        <f t="shared" si="15"/>
        <v>0</v>
      </c>
      <c r="G63" s="81">
        <f t="shared" si="15"/>
        <v>0</v>
      </c>
      <c r="H63" s="81">
        <f t="shared" si="15"/>
        <v>0</v>
      </c>
    </row>
    <row r="64" spans="1:8">
      <c r="A64" s="80" t="str">
        <f>A36</f>
        <v>Guava</v>
      </c>
      <c r="B64" s="81">
        <f t="shared" si="15"/>
        <v>0</v>
      </c>
      <c r="C64" s="81">
        <f t="shared" si="15"/>
        <v>0</v>
      </c>
      <c r="D64" s="81">
        <f t="shared" si="15"/>
        <v>0</v>
      </c>
      <c r="E64" s="81">
        <f t="shared" si="15"/>
        <v>0</v>
      </c>
      <c r="F64" s="81">
        <f t="shared" si="15"/>
        <v>0</v>
      </c>
      <c r="G64" s="81">
        <f t="shared" si="15"/>
        <v>0</v>
      </c>
      <c r="H64" s="81">
        <f t="shared" si="15"/>
        <v>0</v>
      </c>
    </row>
    <row r="65" spans="1:8">
      <c r="A65" s="80" t="str">
        <f>A37</f>
        <v>Citrus</v>
      </c>
      <c r="B65" s="81">
        <f t="shared" si="15"/>
        <v>0</v>
      </c>
      <c r="C65" s="81">
        <f t="shared" si="15"/>
        <v>0</v>
      </c>
      <c r="D65" s="81">
        <f t="shared" si="15"/>
        <v>0</v>
      </c>
      <c r="E65" s="81">
        <f t="shared" si="15"/>
        <v>0</v>
      </c>
      <c r="F65" s="81">
        <f t="shared" si="15"/>
        <v>0</v>
      </c>
      <c r="G65" s="81">
        <f t="shared" si="15"/>
        <v>0</v>
      </c>
      <c r="H65" s="81">
        <f t="shared" si="15"/>
        <v>0</v>
      </c>
    </row>
    <row r="66" spans="1:8">
      <c r="A66" s="82" t="s">
        <v>276</v>
      </c>
      <c r="B66" s="80"/>
      <c r="C66" s="80"/>
      <c r="D66" s="80"/>
      <c r="E66" s="80"/>
      <c r="F66" s="80"/>
      <c r="G66" s="80"/>
      <c r="H66" s="80"/>
    </row>
    <row r="67" spans="1:8">
      <c r="A67" s="80" t="str">
        <f>A44</f>
        <v>Onion</v>
      </c>
      <c r="B67" s="153"/>
      <c r="C67" s="153"/>
      <c r="D67" s="153"/>
      <c r="E67" s="153"/>
      <c r="F67" s="153"/>
      <c r="G67" s="153"/>
      <c r="H67" s="153"/>
    </row>
    <row r="68" spans="1:8">
      <c r="A68" s="80"/>
      <c r="B68" s="153"/>
      <c r="C68" s="153"/>
      <c r="D68" s="153"/>
      <c r="E68" s="153"/>
      <c r="F68" s="153"/>
      <c r="G68" s="153"/>
      <c r="H68" s="153"/>
    </row>
    <row r="69" spans="1:8">
      <c r="A69" s="80"/>
      <c r="B69" s="153"/>
      <c r="C69" s="153"/>
      <c r="D69" s="153"/>
      <c r="E69" s="153"/>
      <c r="F69" s="153"/>
      <c r="G69" s="153"/>
      <c r="H69" s="153"/>
    </row>
    <row r="70" spans="1:8">
      <c r="A70" s="80"/>
      <c r="B70" s="153"/>
      <c r="C70" s="153"/>
      <c r="D70" s="153"/>
      <c r="E70" s="153"/>
      <c r="F70" s="153"/>
      <c r="G70" s="153"/>
      <c r="H70" s="153"/>
    </row>
    <row r="71" spans="1:8">
      <c r="A71" s="80" t="str">
        <f>A45</f>
        <v>Tomato</v>
      </c>
      <c r="B71" s="81"/>
      <c r="C71" s="81"/>
      <c r="D71" s="81"/>
      <c r="E71" s="81"/>
      <c r="F71" s="81"/>
      <c r="G71" s="81"/>
      <c r="H71" s="81"/>
    </row>
    <row r="72" spans="1:8">
      <c r="A72" s="80"/>
      <c r="B72" s="81"/>
      <c r="C72" s="81"/>
      <c r="D72" s="81"/>
      <c r="E72" s="81"/>
      <c r="F72" s="81"/>
      <c r="G72" s="81"/>
      <c r="H72" s="81"/>
    </row>
    <row r="73" spans="1:8">
      <c r="A73" s="80"/>
      <c r="B73" s="81"/>
      <c r="C73" s="81"/>
      <c r="D73" s="81"/>
      <c r="E73" s="81"/>
      <c r="F73" s="81"/>
      <c r="G73" s="81"/>
      <c r="H73" s="81"/>
    </row>
    <row r="74" spans="1:8">
      <c r="A74" s="80"/>
      <c r="B74" s="81"/>
      <c r="C74" s="81"/>
      <c r="D74" s="81"/>
      <c r="E74" s="81"/>
      <c r="F74" s="81"/>
      <c r="G74" s="81"/>
      <c r="H74" s="81"/>
    </row>
    <row r="75" spans="1:8">
      <c r="A75" s="80" t="str">
        <f>A46</f>
        <v>Okra</v>
      </c>
      <c r="B75" s="81"/>
      <c r="C75" s="81"/>
      <c r="D75" s="81"/>
      <c r="E75" s="81"/>
      <c r="F75" s="81"/>
      <c r="G75" s="81"/>
      <c r="H75" s="81"/>
    </row>
    <row r="76" spans="1:8">
      <c r="A76" s="80"/>
      <c r="B76" s="81"/>
      <c r="C76" s="81"/>
      <c r="D76" s="81"/>
      <c r="E76" s="81"/>
      <c r="F76" s="81"/>
      <c r="G76" s="81"/>
      <c r="H76" s="81"/>
    </row>
    <row r="77" spans="1:8">
      <c r="A77" s="80"/>
      <c r="B77" s="81"/>
      <c r="C77" s="81"/>
      <c r="D77" s="81"/>
      <c r="E77" s="81"/>
      <c r="F77" s="81"/>
      <c r="G77" s="81"/>
      <c r="H77" s="81"/>
    </row>
    <row r="78" spans="1:8">
      <c r="A78" s="80"/>
      <c r="B78" s="81"/>
      <c r="C78" s="81"/>
      <c r="D78" s="81"/>
      <c r="E78" s="81"/>
      <c r="F78" s="81"/>
      <c r="G78" s="81"/>
      <c r="H78" s="81"/>
    </row>
    <row r="79" spans="1:8">
      <c r="A79" s="80" t="str">
        <f>A47</f>
        <v>Chilli</v>
      </c>
      <c r="B79" s="81"/>
      <c r="C79" s="81"/>
      <c r="D79" s="81"/>
      <c r="E79" s="81"/>
      <c r="F79" s="81"/>
      <c r="G79" s="81"/>
      <c r="H79" s="81"/>
    </row>
    <row r="80" spans="1:8">
      <c r="A80" s="80"/>
      <c r="B80" s="81"/>
      <c r="C80" s="81"/>
      <c r="D80" s="81"/>
      <c r="E80" s="81"/>
      <c r="F80" s="81"/>
      <c r="G80" s="81"/>
      <c r="H80" s="81"/>
    </row>
    <row r="81" spans="1:8">
      <c r="A81" s="80"/>
      <c r="B81" s="81"/>
      <c r="C81" s="81"/>
      <c r="D81" s="81"/>
      <c r="E81" s="81"/>
      <c r="F81" s="81"/>
      <c r="G81" s="81"/>
      <c r="H81" s="81"/>
    </row>
    <row r="82" spans="1:8">
      <c r="A82" s="80"/>
      <c r="B82" s="81"/>
      <c r="C82" s="81"/>
      <c r="D82" s="81"/>
      <c r="E82" s="81"/>
      <c r="F82" s="81"/>
      <c r="G82" s="81"/>
      <c r="H82" s="81"/>
    </row>
    <row r="83" spans="1:8">
      <c r="A83" s="80" t="str">
        <f>A48</f>
        <v>Potato</v>
      </c>
      <c r="B83" s="81"/>
      <c r="C83" s="81"/>
      <c r="D83" s="81"/>
      <c r="E83" s="81"/>
      <c r="F83" s="81"/>
      <c r="G83" s="81"/>
      <c r="H83" s="81"/>
    </row>
    <row r="84" spans="1:8">
      <c r="A84" s="80"/>
      <c r="B84" s="81"/>
      <c r="C84" s="81"/>
      <c r="D84" s="81"/>
      <c r="E84" s="81"/>
      <c r="F84" s="81"/>
      <c r="G84" s="81"/>
      <c r="H84" s="81"/>
    </row>
    <row r="85" spans="1:8">
      <c r="A85" s="80"/>
      <c r="B85" s="81"/>
      <c r="C85" s="81"/>
      <c r="D85" s="81"/>
      <c r="E85" s="81"/>
      <c r="F85" s="81"/>
      <c r="G85" s="81"/>
      <c r="H85" s="81"/>
    </row>
    <row r="86" spans="1:8">
      <c r="A86" s="80"/>
      <c r="B86" s="81"/>
      <c r="C86" s="81"/>
      <c r="D86" s="81"/>
      <c r="E86" s="81"/>
      <c r="F86" s="81"/>
      <c r="G86" s="81"/>
      <c r="H86" s="81"/>
    </row>
    <row r="87" spans="1:8">
      <c r="A87" s="80">
        <f>A49</f>
        <v>0</v>
      </c>
      <c r="B87" s="81"/>
      <c r="C87" s="81"/>
      <c r="D87" s="81"/>
      <c r="E87" s="81"/>
      <c r="F87" s="81"/>
      <c r="G87" s="81"/>
      <c r="H87" s="81"/>
    </row>
    <row r="88" spans="1:8">
      <c r="A88" s="80"/>
      <c r="B88" s="81"/>
      <c r="C88" s="81"/>
      <c r="D88" s="81"/>
      <c r="E88" s="81"/>
      <c r="F88" s="81"/>
      <c r="G88" s="81"/>
      <c r="H88" s="81"/>
    </row>
    <row r="89" spans="1:8">
      <c r="A89" s="80"/>
      <c r="B89" s="81"/>
      <c r="C89" s="81"/>
      <c r="D89" s="81"/>
      <c r="E89" s="81"/>
      <c r="F89" s="81"/>
      <c r="G89" s="81"/>
      <c r="H89" s="81"/>
    </row>
    <row r="90" spans="1:8">
      <c r="A90" s="80"/>
      <c r="B90" s="81"/>
      <c r="C90" s="81"/>
      <c r="D90" s="81"/>
      <c r="E90" s="81"/>
      <c r="F90" s="81"/>
      <c r="G90" s="81"/>
      <c r="H90" s="81"/>
    </row>
    <row r="91" spans="1:8">
      <c r="A91" s="80">
        <f>A50</f>
        <v>0</v>
      </c>
      <c r="B91" s="81"/>
      <c r="C91" s="81"/>
      <c r="D91" s="81"/>
      <c r="E91" s="81"/>
      <c r="F91" s="81"/>
      <c r="G91" s="81"/>
      <c r="H91" s="81"/>
    </row>
    <row r="92" spans="1:8">
      <c r="A92" s="80"/>
      <c r="B92" s="81"/>
      <c r="C92" s="81"/>
      <c r="D92" s="81"/>
      <c r="E92" s="81"/>
      <c r="F92" s="81"/>
      <c r="G92" s="81"/>
      <c r="H92" s="81"/>
    </row>
    <row r="93" spans="1:8">
      <c r="A93" s="80"/>
      <c r="B93" s="81"/>
      <c r="C93" s="81"/>
      <c r="D93" s="81"/>
      <c r="E93" s="81"/>
      <c r="F93" s="81"/>
      <c r="G93" s="81"/>
      <c r="H93" s="81"/>
    </row>
    <row r="94" spans="1:8">
      <c r="A94" s="80">
        <f>A51</f>
        <v>0</v>
      </c>
      <c r="B94" s="81"/>
      <c r="C94" s="81"/>
      <c r="D94" s="81"/>
      <c r="E94" s="81"/>
      <c r="F94" s="81"/>
      <c r="G94" s="81"/>
      <c r="H94" s="81"/>
    </row>
    <row r="95" spans="1:8">
      <c r="A95" s="80"/>
      <c r="B95" s="81"/>
      <c r="C95" s="81"/>
      <c r="D95" s="81"/>
      <c r="E95" s="81"/>
      <c r="F95" s="81"/>
      <c r="G95" s="81"/>
      <c r="H95" s="81"/>
    </row>
    <row r="96" spans="1:8">
      <c r="A96" s="80"/>
      <c r="B96" s="81"/>
      <c r="C96" s="81"/>
      <c r="D96" s="81"/>
      <c r="E96" s="81"/>
      <c r="F96" s="81"/>
      <c r="G96" s="81"/>
      <c r="H96" s="81"/>
    </row>
    <row r="97" spans="1:8">
      <c r="A97" s="80"/>
      <c r="B97" s="81"/>
      <c r="C97" s="81"/>
      <c r="D97" s="81"/>
      <c r="E97" s="81"/>
      <c r="F97" s="81"/>
      <c r="G97" s="81"/>
      <c r="H97" s="81"/>
    </row>
    <row r="98" spans="1:8">
      <c r="A98" s="80">
        <f>A52</f>
        <v>0</v>
      </c>
      <c r="B98" s="81"/>
      <c r="C98" s="81"/>
      <c r="D98" s="81"/>
      <c r="E98" s="81"/>
      <c r="F98" s="81"/>
      <c r="G98" s="81"/>
      <c r="H98" s="81"/>
    </row>
    <row r="99" spans="1:8">
      <c r="A99" s="80"/>
      <c r="B99" s="81"/>
      <c r="C99" s="81"/>
      <c r="D99" s="81"/>
      <c r="E99" s="81"/>
      <c r="F99" s="81"/>
      <c r="G99" s="81"/>
      <c r="H99" s="81"/>
    </row>
    <row r="100" spans="1:8">
      <c r="A100" s="80"/>
      <c r="B100" s="81"/>
      <c r="C100" s="81"/>
      <c r="D100" s="81"/>
      <c r="E100" s="81"/>
      <c r="F100" s="81"/>
      <c r="G100" s="81"/>
      <c r="H100" s="81"/>
    </row>
    <row r="101" spans="1:8">
      <c r="A101" s="80"/>
      <c r="B101" s="81"/>
      <c r="C101" s="81"/>
      <c r="D101" s="81"/>
      <c r="E101" s="81"/>
      <c r="F101" s="81"/>
      <c r="G101" s="81"/>
      <c r="H101" s="81"/>
    </row>
    <row r="102" spans="1:8">
      <c r="A102" s="80" t="str">
        <f>A53</f>
        <v>Onion</v>
      </c>
      <c r="B102" s="81"/>
      <c r="C102" s="81"/>
      <c r="D102" s="81"/>
      <c r="E102" s="81"/>
      <c r="F102" s="81"/>
      <c r="G102" s="81"/>
      <c r="H102" s="81"/>
    </row>
    <row r="103" spans="1:8">
      <c r="A103" s="80"/>
      <c r="B103" s="81"/>
      <c r="C103" s="81"/>
      <c r="D103" s="81"/>
      <c r="E103" s="81"/>
      <c r="F103" s="81"/>
      <c r="G103" s="81"/>
      <c r="H103" s="81"/>
    </row>
    <row r="104" spans="1:8">
      <c r="A104" s="80"/>
      <c r="B104" s="81"/>
      <c r="C104" s="81"/>
      <c r="D104" s="81"/>
      <c r="E104" s="81"/>
      <c r="F104" s="81"/>
      <c r="G104" s="81"/>
      <c r="H104" s="81"/>
    </row>
    <row r="105" spans="1:8">
      <c r="A105" s="80"/>
      <c r="B105" s="81"/>
      <c r="C105" s="81"/>
      <c r="D105" s="81"/>
      <c r="E105" s="81"/>
      <c r="F105" s="81"/>
      <c r="G105" s="81"/>
      <c r="H105" s="81"/>
    </row>
    <row r="106" spans="1:8">
      <c r="A106" s="80" t="str">
        <f>A54</f>
        <v>Tomato</v>
      </c>
      <c r="B106" s="81"/>
      <c r="C106" s="81"/>
      <c r="D106" s="81"/>
      <c r="E106" s="81"/>
      <c r="F106" s="81"/>
      <c r="G106" s="81"/>
      <c r="H106" s="81"/>
    </row>
    <row r="107" spans="1:8">
      <c r="A107" s="80"/>
      <c r="B107" s="81"/>
      <c r="C107" s="81"/>
      <c r="D107" s="81"/>
      <c r="E107" s="81"/>
      <c r="F107" s="81"/>
      <c r="G107" s="81"/>
      <c r="H107" s="81"/>
    </row>
    <row r="108" spans="1:8">
      <c r="A108" s="80"/>
      <c r="B108" s="81"/>
      <c r="C108" s="81"/>
      <c r="D108" s="81"/>
      <c r="E108" s="81"/>
      <c r="F108" s="81"/>
      <c r="G108" s="81"/>
      <c r="H108" s="81"/>
    </row>
    <row r="109" spans="1:8">
      <c r="A109" s="80"/>
      <c r="B109" s="81"/>
      <c r="C109" s="81"/>
      <c r="D109" s="81"/>
      <c r="E109" s="81"/>
      <c r="F109" s="81"/>
      <c r="G109" s="81"/>
      <c r="H109" s="81"/>
    </row>
    <row r="110" spans="1:8">
      <c r="A110" s="80" t="str">
        <f>A55</f>
        <v>Okra</v>
      </c>
      <c r="B110" s="81"/>
      <c r="C110" s="81"/>
      <c r="D110" s="81"/>
      <c r="E110" s="81"/>
      <c r="F110" s="81"/>
      <c r="G110" s="81"/>
      <c r="H110" s="81"/>
    </row>
    <row r="111" spans="1:8">
      <c r="A111" s="80"/>
      <c r="B111" s="81"/>
      <c r="C111" s="81"/>
      <c r="D111" s="81"/>
      <c r="E111" s="81"/>
      <c r="F111" s="81"/>
      <c r="G111" s="81"/>
      <c r="H111" s="81"/>
    </row>
    <row r="112" spans="1:8">
      <c r="A112" s="80"/>
      <c r="B112" s="81"/>
      <c r="C112" s="81"/>
      <c r="D112" s="81"/>
      <c r="E112" s="81"/>
      <c r="F112" s="81"/>
      <c r="G112" s="81"/>
      <c r="H112" s="81"/>
    </row>
    <row r="113" spans="1:8">
      <c r="A113" s="80"/>
      <c r="B113" s="81"/>
      <c r="C113" s="81"/>
      <c r="D113" s="81"/>
      <c r="E113" s="81"/>
      <c r="F113" s="81"/>
      <c r="G113" s="81"/>
      <c r="H113" s="81"/>
    </row>
    <row r="114" spans="1:8">
      <c r="A114" s="80" t="str">
        <f>A56</f>
        <v>Chilli</v>
      </c>
      <c r="B114" s="81"/>
      <c r="C114" s="81"/>
      <c r="D114" s="81"/>
      <c r="E114" s="81"/>
      <c r="F114" s="81"/>
      <c r="G114" s="81"/>
      <c r="H114" s="81"/>
    </row>
    <row r="115" spans="1:8">
      <c r="A115" s="80"/>
      <c r="B115" s="81"/>
      <c r="C115" s="81"/>
      <c r="D115" s="81"/>
      <c r="E115" s="81"/>
      <c r="F115" s="81"/>
      <c r="G115" s="81"/>
      <c r="H115" s="81"/>
    </row>
    <row r="116" spans="1:8">
      <c r="A116" s="80"/>
      <c r="B116" s="81"/>
      <c r="C116" s="81"/>
      <c r="D116" s="81"/>
      <c r="E116" s="81"/>
      <c r="F116" s="81"/>
      <c r="G116" s="81"/>
      <c r="H116" s="81"/>
    </row>
    <row r="117" spans="1:8">
      <c r="A117" s="80"/>
      <c r="B117" s="81"/>
      <c r="C117" s="81"/>
      <c r="D117" s="81"/>
      <c r="E117" s="81"/>
      <c r="F117" s="81"/>
      <c r="G117" s="81"/>
      <c r="H117" s="81"/>
    </row>
    <row r="118" spans="1:8">
      <c r="A118" s="82" t="str">
        <f t="shared" ref="A118:A123" si="16">A57</f>
        <v>Brinjal</v>
      </c>
      <c r="B118" s="81"/>
      <c r="C118" s="81"/>
      <c r="D118" s="81"/>
      <c r="E118" s="81"/>
      <c r="F118" s="81"/>
      <c r="G118" s="81"/>
      <c r="H118" s="81"/>
    </row>
    <row r="119" spans="1:8">
      <c r="A119" s="80">
        <f t="shared" si="16"/>
        <v>0</v>
      </c>
      <c r="B119" s="81"/>
      <c r="C119" s="81"/>
      <c r="D119" s="81"/>
      <c r="E119" s="81"/>
      <c r="F119" s="81"/>
      <c r="G119" s="81"/>
      <c r="H119" s="81"/>
    </row>
    <row r="120" spans="1:8">
      <c r="A120" s="80">
        <f t="shared" si="16"/>
        <v>0</v>
      </c>
      <c r="B120" s="81"/>
      <c r="C120" s="81"/>
      <c r="D120" s="81"/>
      <c r="E120" s="81"/>
      <c r="F120" s="81"/>
      <c r="G120" s="81"/>
      <c r="H120" s="81"/>
    </row>
    <row r="121" spans="1:8">
      <c r="A121" s="80">
        <f t="shared" si="16"/>
        <v>0</v>
      </c>
      <c r="B121" s="81"/>
      <c r="C121" s="81"/>
      <c r="D121" s="81"/>
      <c r="E121" s="81"/>
      <c r="F121" s="81"/>
      <c r="G121" s="81"/>
      <c r="H121" s="81"/>
    </row>
    <row r="122" spans="1:8">
      <c r="A122" s="80">
        <f t="shared" si="16"/>
        <v>0</v>
      </c>
      <c r="B122" s="81"/>
      <c r="C122" s="81"/>
      <c r="D122" s="81"/>
      <c r="E122" s="81"/>
      <c r="F122" s="81"/>
      <c r="G122" s="81"/>
      <c r="H122" s="81"/>
    </row>
    <row r="123" spans="1:8">
      <c r="A123" s="82" t="str">
        <f t="shared" si="16"/>
        <v>Pomegranate</v>
      </c>
      <c r="B123" s="81"/>
      <c r="C123" s="81"/>
      <c r="D123" s="81"/>
      <c r="E123" s="81"/>
      <c r="F123" s="81"/>
      <c r="G123" s="81"/>
      <c r="H123" s="81"/>
    </row>
    <row r="124" spans="1:8">
      <c r="A124" s="80" t="s">
        <v>853</v>
      </c>
      <c r="B124" s="81">
        <f>(B$62*50%)*0.7</f>
        <v>0</v>
      </c>
      <c r="C124" s="81">
        <f>(C$62*50%)*0.7</f>
        <v>0</v>
      </c>
      <c r="D124" s="81">
        <f t="shared" ref="D124:H126" si="17">(D$62*50%)*0.7</f>
        <v>0</v>
      </c>
      <c r="E124" s="81">
        <f t="shared" si="17"/>
        <v>0</v>
      </c>
      <c r="F124" s="81">
        <f t="shared" si="17"/>
        <v>0</v>
      </c>
      <c r="G124" s="81">
        <f t="shared" si="17"/>
        <v>0</v>
      </c>
      <c r="H124" s="81">
        <f t="shared" si="17"/>
        <v>0</v>
      </c>
    </row>
    <row r="125" spans="1:8">
      <c r="A125" s="80" t="s">
        <v>854</v>
      </c>
      <c r="B125" s="81">
        <f>(B$62*50%)*0.7*2</f>
        <v>0</v>
      </c>
      <c r="C125" s="81">
        <f>(C$62*50%)*0.7</f>
        <v>0</v>
      </c>
      <c r="D125" s="81">
        <f t="shared" si="17"/>
        <v>0</v>
      </c>
      <c r="E125" s="81">
        <f t="shared" si="17"/>
        <v>0</v>
      </c>
      <c r="F125" s="81">
        <f t="shared" si="17"/>
        <v>0</v>
      </c>
      <c r="G125" s="81">
        <f t="shared" si="17"/>
        <v>0</v>
      </c>
      <c r="H125" s="81">
        <f t="shared" si="17"/>
        <v>0</v>
      </c>
    </row>
    <row r="126" spans="1:8">
      <c r="A126" s="80" t="s">
        <v>855</v>
      </c>
      <c r="B126" s="81">
        <f>(B$62*0.3)*0.2</f>
        <v>0</v>
      </c>
      <c r="C126" s="81">
        <f>(C$62*50%)*0.7</f>
        <v>0</v>
      </c>
      <c r="D126" s="81">
        <f t="shared" si="17"/>
        <v>0</v>
      </c>
      <c r="E126" s="81">
        <f t="shared" si="17"/>
        <v>0</v>
      </c>
      <c r="F126" s="81">
        <f t="shared" si="17"/>
        <v>0</v>
      </c>
      <c r="G126" s="81">
        <f t="shared" si="17"/>
        <v>0</v>
      </c>
      <c r="H126" s="81">
        <f t="shared" si="17"/>
        <v>0</v>
      </c>
    </row>
    <row r="127" spans="1:8">
      <c r="A127" s="80" t="str">
        <f t="shared" ref="A127" si="18">A63</f>
        <v>Custard Apple</v>
      </c>
      <c r="B127" s="81"/>
      <c r="C127" s="81"/>
      <c r="D127" s="81"/>
      <c r="E127" s="81"/>
      <c r="F127" s="81"/>
      <c r="G127" s="81"/>
      <c r="H127" s="81"/>
    </row>
    <row r="128" spans="1:8">
      <c r="A128" s="80"/>
      <c r="B128" s="81"/>
      <c r="C128" s="81"/>
      <c r="D128" s="81"/>
      <c r="E128" s="81"/>
      <c r="F128" s="81"/>
      <c r="G128" s="81"/>
      <c r="H128" s="81"/>
    </row>
    <row r="129" spans="1:8">
      <c r="A129" s="80"/>
      <c r="B129" s="81"/>
      <c r="C129" s="81"/>
      <c r="D129" s="81"/>
      <c r="E129" s="81"/>
      <c r="F129" s="81"/>
      <c r="G129" s="81"/>
      <c r="H129" s="81"/>
    </row>
    <row r="130" spans="1:8">
      <c r="A130" s="80"/>
      <c r="B130" s="81"/>
      <c r="C130" s="81"/>
      <c r="D130" s="81"/>
      <c r="E130" s="81"/>
      <c r="F130" s="81"/>
      <c r="G130" s="81"/>
      <c r="H130" s="81"/>
    </row>
    <row r="131" spans="1:8">
      <c r="A131" s="80" t="str">
        <f>A64</f>
        <v>Guava</v>
      </c>
      <c r="B131" s="81"/>
      <c r="C131" s="81"/>
      <c r="D131" s="81"/>
      <c r="E131" s="81"/>
      <c r="F131" s="81"/>
      <c r="G131" s="81"/>
      <c r="H131" s="81"/>
    </row>
    <row r="132" spans="1:8">
      <c r="A132" s="80"/>
      <c r="B132" s="81"/>
      <c r="C132" s="81"/>
      <c r="D132" s="81"/>
      <c r="E132" s="81"/>
      <c r="F132" s="81"/>
      <c r="G132" s="81"/>
      <c r="H132" s="81"/>
    </row>
    <row r="133" spans="1:8">
      <c r="A133" s="80"/>
      <c r="B133" s="81"/>
      <c r="C133" s="81"/>
      <c r="D133" s="81"/>
      <c r="E133" s="81"/>
      <c r="F133" s="81"/>
      <c r="G133" s="81"/>
      <c r="H133" s="81"/>
    </row>
    <row r="134" spans="1:8">
      <c r="A134" s="80"/>
      <c r="B134" s="81"/>
      <c r="C134" s="81"/>
      <c r="D134" s="81"/>
      <c r="E134" s="81"/>
      <c r="F134" s="81"/>
      <c r="G134" s="81"/>
      <c r="H134" s="81"/>
    </row>
    <row r="135" spans="1:8">
      <c r="A135" s="80" t="str">
        <f>A65</f>
        <v>Citrus</v>
      </c>
      <c r="B135" s="81"/>
      <c r="C135" s="81"/>
      <c r="D135" s="81"/>
      <c r="E135" s="81"/>
      <c r="F135" s="81"/>
      <c r="G135" s="81"/>
      <c r="H135" s="81"/>
    </row>
    <row r="136" spans="1:8">
      <c r="A136" s="80"/>
      <c r="B136" s="81"/>
      <c r="C136" s="81"/>
      <c r="D136" s="81"/>
      <c r="E136" s="81"/>
      <c r="F136" s="81"/>
      <c r="G136" s="81"/>
      <c r="H136" s="81"/>
    </row>
    <row r="137" spans="1:8">
      <c r="A137" s="80"/>
      <c r="B137" s="81"/>
      <c r="C137" s="81"/>
      <c r="D137" s="81"/>
      <c r="E137" s="81"/>
      <c r="F137" s="81"/>
      <c r="G137" s="81"/>
      <c r="H137" s="81"/>
    </row>
    <row r="138" spans="1:8">
      <c r="A138" s="80"/>
      <c r="B138" s="81"/>
      <c r="C138" s="81"/>
      <c r="D138" s="81"/>
      <c r="E138" s="81"/>
      <c r="F138" s="81"/>
      <c r="G138" s="81"/>
      <c r="H138" s="81"/>
    </row>
    <row r="139" spans="1:8">
      <c r="A139" s="148"/>
      <c r="B139" s="261"/>
      <c r="C139" s="261"/>
      <c r="D139" s="261"/>
      <c r="E139" s="261"/>
      <c r="F139" s="261"/>
      <c r="G139" s="261"/>
      <c r="H139" s="261"/>
    </row>
    <row r="140" spans="1:8">
      <c r="A140" s="149" t="s">
        <v>432</v>
      </c>
    </row>
    <row r="141" spans="1:8">
      <c r="A141" t="s">
        <v>856</v>
      </c>
      <c r="B141" s="27">
        <f t="shared" ref="B141:H143" si="19">(B124*100)</f>
        <v>0</v>
      </c>
      <c r="C141" s="27">
        <f t="shared" si="19"/>
        <v>0</v>
      </c>
      <c r="D141" s="27">
        <f t="shared" si="19"/>
        <v>0</v>
      </c>
      <c r="E141" s="27">
        <f t="shared" si="19"/>
        <v>0</v>
      </c>
      <c r="F141" s="27">
        <f t="shared" si="19"/>
        <v>0</v>
      </c>
      <c r="G141" s="27">
        <f t="shared" si="19"/>
        <v>0</v>
      </c>
      <c r="H141" s="27">
        <f t="shared" si="19"/>
        <v>0</v>
      </c>
    </row>
    <row r="142" spans="1:8">
      <c r="A142" t="s">
        <v>857</v>
      </c>
      <c r="B142" s="27">
        <f t="shared" si="19"/>
        <v>0</v>
      </c>
      <c r="C142" s="27">
        <f t="shared" si="19"/>
        <v>0</v>
      </c>
      <c r="D142" s="27">
        <f t="shared" si="19"/>
        <v>0</v>
      </c>
      <c r="E142" s="27">
        <f t="shared" si="19"/>
        <v>0</v>
      </c>
      <c r="F142" s="27">
        <f t="shared" si="19"/>
        <v>0</v>
      </c>
      <c r="G142" s="27">
        <f t="shared" si="19"/>
        <v>0</v>
      </c>
      <c r="H142" s="27">
        <f t="shared" si="19"/>
        <v>0</v>
      </c>
    </row>
    <row r="143" spans="1:8">
      <c r="A143" t="s">
        <v>858</v>
      </c>
      <c r="B143" s="27">
        <f t="shared" si="19"/>
        <v>0</v>
      </c>
      <c r="C143" s="27">
        <f t="shared" si="19"/>
        <v>0</v>
      </c>
      <c r="D143" s="27">
        <f t="shared" si="19"/>
        <v>0</v>
      </c>
      <c r="E143" s="27">
        <f t="shared" si="19"/>
        <v>0</v>
      </c>
      <c r="F143" s="27">
        <f t="shared" si="19"/>
        <v>0</v>
      </c>
      <c r="G143" s="27">
        <f t="shared" si="19"/>
        <v>0</v>
      </c>
      <c r="H143" s="27">
        <f t="shared" si="19"/>
        <v>0</v>
      </c>
    </row>
    <row r="145" spans="1:10">
      <c r="B145" s="27"/>
      <c r="C145" s="27"/>
    </row>
    <row r="146" spans="1:10">
      <c r="B146" s="27"/>
      <c r="C146" s="27"/>
      <c r="D146" s="27"/>
    </row>
    <row r="147" spans="1:10" ht="18.75">
      <c r="A147" s="676" t="s">
        <v>535</v>
      </c>
      <c r="B147" s="676"/>
      <c r="C147" s="676"/>
      <c r="D147" s="676"/>
      <c r="E147" s="676"/>
      <c r="F147" s="676"/>
      <c r="G147" s="676"/>
      <c r="H147" s="676"/>
      <c r="I147" s="676"/>
      <c r="J147" s="676"/>
    </row>
    <row r="148" spans="1:10">
      <c r="A148" s="616"/>
      <c r="B148" s="616"/>
      <c r="C148" s="616"/>
      <c r="D148" s="616"/>
      <c r="E148" s="616"/>
      <c r="F148" s="616"/>
      <c r="G148" s="616"/>
      <c r="H148" s="616"/>
    </row>
    <row r="149" spans="1:10">
      <c r="A149" s="274"/>
      <c r="B149" s="274"/>
      <c r="C149" s="274"/>
      <c r="D149" s="155">
        <v>1</v>
      </c>
      <c r="E149" s="156">
        <f>(D149*5%)+D149</f>
        <v>1.05</v>
      </c>
      <c r="F149" s="156">
        <f t="shared" ref="F149:J149" si="20">(E149*5%)+E149</f>
        <v>1.1025</v>
      </c>
      <c r="G149" s="156">
        <f t="shared" si="20"/>
        <v>1.1576250000000001</v>
      </c>
      <c r="H149" s="156">
        <f t="shared" si="20"/>
        <v>1.2155062500000002</v>
      </c>
      <c r="I149" s="156">
        <f t="shared" si="20"/>
        <v>1.2762815625000004</v>
      </c>
      <c r="J149" s="156">
        <f t="shared" si="20"/>
        <v>1.3400956406250004</v>
      </c>
    </row>
    <row r="150" spans="1:10">
      <c r="A150" s="79"/>
      <c r="B150" s="79"/>
      <c r="C150" s="79"/>
      <c r="D150" s="79"/>
      <c r="E150" s="79"/>
      <c r="F150" s="79"/>
      <c r="G150" s="79"/>
      <c r="H150" s="79"/>
      <c r="I150" s="79"/>
      <c r="J150" s="79"/>
    </row>
    <row r="151" spans="1:10">
      <c r="A151" s="122" t="s">
        <v>0</v>
      </c>
      <c r="B151" s="122" t="s">
        <v>128</v>
      </c>
      <c r="C151" s="122" t="s">
        <v>148</v>
      </c>
      <c r="D151" s="102" t="s">
        <v>2</v>
      </c>
      <c r="E151" s="102" t="s">
        <v>3</v>
      </c>
      <c r="F151" s="102" t="s">
        <v>4</v>
      </c>
      <c r="G151" s="102" t="s">
        <v>5</v>
      </c>
      <c r="H151" s="102" t="s">
        <v>6</v>
      </c>
      <c r="I151" s="102" t="s">
        <v>163</v>
      </c>
      <c r="J151" s="102" t="s">
        <v>162</v>
      </c>
    </row>
    <row r="152" spans="1:10">
      <c r="A152" s="80"/>
      <c r="B152" s="80"/>
      <c r="C152" s="80"/>
      <c r="D152" s="80"/>
      <c r="E152" s="80"/>
      <c r="F152" s="80"/>
      <c r="G152" s="80"/>
      <c r="H152" s="80"/>
      <c r="I152" s="80"/>
      <c r="J152" s="80"/>
    </row>
    <row r="153" spans="1:10">
      <c r="A153" s="82" t="s">
        <v>124</v>
      </c>
      <c r="B153" s="82"/>
      <c r="C153" s="82"/>
      <c r="D153" s="97"/>
      <c r="E153" s="97"/>
      <c r="F153" s="97"/>
      <c r="G153" s="97"/>
      <c r="H153" s="97"/>
      <c r="I153" s="80"/>
      <c r="J153" s="80"/>
    </row>
    <row r="154" spans="1:10">
      <c r="A154" s="80" t="str">
        <f>A124</f>
        <v>Pomegranate Arils</v>
      </c>
      <c r="B154" s="192" t="s">
        <v>859</v>
      </c>
      <c r="C154" s="192">
        <v>150</v>
      </c>
      <c r="D154" s="81">
        <v>0</v>
      </c>
      <c r="E154" s="81">
        <v>0</v>
      </c>
      <c r="F154" s="81">
        <v>0</v>
      </c>
      <c r="G154" s="81">
        <v>0</v>
      </c>
      <c r="H154" s="81">
        <v>0</v>
      </c>
      <c r="I154" s="81">
        <v>0</v>
      </c>
      <c r="J154" s="81">
        <v>0</v>
      </c>
    </row>
    <row r="155" spans="1:10">
      <c r="A155" s="80" t="str">
        <f>A125</f>
        <v>Pomegranate Juice</v>
      </c>
      <c r="B155" s="192" t="s">
        <v>860</v>
      </c>
      <c r="C155" s="192">
        <v>40</v>
      </c>
      <c r="D155" s="81">
        <v>0</v>
      </c>
      <c r="E155" s="81">
        <v>0</v>
      </c>
      <c r="F155" s="81">
        <v>0</v>
      </c>
      <c r="G155" s="81">
        <v>0</v>
      </c>
      <c r="H155" s="81">
        <v>0</v>
      </c>
      <c r="I155" s="81">
        <v>0</v>
      </c>
      <c r="J155" s="81">
        <v>0</v>
      </c>
    </row>
    <row r="156" spans="1:10">
      <c r="A156" s="80" t="str">
        <f>A126</f>
        <v>Pomegranate Powder</v>
      </c>
      <c r="B156" s="192" t="s">
        <v>348</v>
      </c>
      <c r="C156" s="192">
        <v>50</v>
      </c>
      <c r="D156" s="81">
        <v>0</v>
      </c>
      <c r="E156" s="81">
        <v>0</v>
      </c>
      <c r="F156" s="81">
        <v>0</v>
      </c>
      <c r="G156" s="81">
        <v>0</v>
      </c>
      <c r="H156" s="81">
        <v>0</v>
      </c>
      <c r="I156" s="81">
        <v>0</v>
      </c>
      <c r="J156" s="81">
        <v>0</v>
      </c>
    </row>
    <row r="157" spans="1:10">
      <c r="A157" s="80"/>
      <c r="B157" s="192"/>
      <c r="C157" s="192"/>
      <c r="D157" s="81"/>
      <c r="E157" s="81"/>
      <c r="F157" s="81"/>
      <c r="G157" s="81"/>
      <c r="H157" s="81"/>
      <c r="I157" s="81"/>
      <c r="J157" s="81"/>
    </row>
    <row r="158" spans="1:10">
      <c r="A158" s="80"/>
      <c r="B158" s="80"/>
      <c r="C158" s="80"/>
      <c r="D158" s="81"/>
      <c r="E158" s="81"/>
      <c r="F158" s="81"/>
      <c r="G158" s="81"/>
      <c r="H158" s="81"/>
      <c r="I158" s="81"/>
      <c r="J158" s="81"/>
    </row>
    <row r="159" spans="1:10">
      <c r="A159" s="82" t="s">
        <v>124</v>
      </c>
      <c r="B159" s="82"/>
      <c r="C159" s="82"/>
      <c r="D159" s="98">
        <f t="shared" ref="D159:J159" si="21">SUM(D154:D157)</f>
        <v>0</v>
      </c>
      <c r="E159" s="98">
        <f t="shared" si="21"/>
        <v>0</v>
      </c>
      <c r="F159" s="98">
        <f t="shared" si="21"/>
        <v>0</v>
      </c>
      <c r="G159" s="98">
        <f t="shared" si="21"/>
        <v>0</v>
      </c>
      <c r="H159" s="98">
        <f t="shared" si="21"/>
        <v>0</v>
      </c>
      <c r="I159" s="98">
        <f t="shared" si="21"/>
        <v>0</v>
      </c>
      <c r="J159" s="98">
        <f t="shared" si="21"/>
        <v>0</v>
      </c>
    </row>
    <row r="160" spans="1:10">
      <c r="A160" s="80"/>
      <c r="B160" s="80"/>
      <c r="C160" s="80"/>
      <c r="D160" s="81"/>
      <c r="E160" s="81"/>
      <c r="F160" s="81"/>
      <c r="G160" s="81"/>
      <c r="H160" s="81"/>
      <c r="I160" s="81"/>
      <c r="J160" s="81"/>
    </row>
    <row r="161" spans="1:10">
      <c r="A161" s="82" t="s">
        <v>137</v>
      </c>
      <c r="B161" s="82"/>
      <c r="C161" s="82"/>
      <c r="D161" s="81"/>
      <c r="E161" s="81"/>
      <c r="F161" s="81"/>
      <c r="G161" s="81"/>
      <c r="H161" s="81"/>
      <c r="I161" s="81"/>
      <c r="J161" s="81"/>
    </row>
    <row r="162" spans="1:10">
      <c r="A162" s="82" t="s">
        <v>301</v>
      </c>
      <c r="B162" s="82"/>
      <c r="C162" s="80"/>
      <c r="D162" s="81"/>
      <c r="E162" s="81"/>
      <c r="F162" s="81"/>
      <c r="G162" s="81"/>
      <c r="H162" s="81"/>
      <c r="I162" s="81"/>
      <c r="J162" s="81"/>
    </row>
    <row r="163" spans="1:10">
      <c r="A163" s="84" t="s">
        <v>861</v>
      </c>
      <c r="B163" s="192" t="s">
        <v>349</v>
      </c>
      <c r="C163" s="215">
        <v>6000</v>
      </c>
      <c r="D163" s="81">
        <f>B62*$C163*D$149</f>
        <v>0</v>
      </c>
      <c r="E163" s="81">
        <f>C62*$C163*E$149</f>
        <v>0</v>
      </c>
      <c r="F163" s="81">
        <f t="shared" ref="F163:J163" si="22">D62*$C163*F$149</f>
        <v>0</v>
      </c>
      <c r="G163" s="81">
        <f t="shared" si="22"/>
        <v>0</v>
      </c>
      <c r="H163" s="81">
        <f t="shared" si="22"/>
        <v>0</v>
      </c>
      <c r="I163" s="81">
        <f t="shared" si="22"/>
        <v>0</v>
      </c>
      <c r="J163" s="81">
        <f t="shared" si="22"/>
        <v>0</v>
      </c>
    </row>
    <row r="164" spans="1:10">
      <c r="A164" s="80" t="s">
        <v>862</v>
      </c>
      <c r="B164" s="192" t="s">
        <v>349</v>
      </c>
      <c r="C164" s="192">
        <v>2000</v>
      </c>
      <c r="D164" s="81">
        <f>(B62*10%)*$C164*D$149</f>
        <v>0</v>
      </c>
      <c r="E164" s="81">
        <f t="shared" ref="E164:J164" si="23">(C62*10%)*$C164*E$149</f>
        <v>0</v>
      </c>
      <c r="F164" s="81">
        <f t="shared" si="23"/>
        <v>0</v>
      </c>
      <c r="G164" s="81">
        <f t="shared" si="23"/>
        <v>0</v>
      </c>
      <c r="H164" s="81">
        <f t="shared" si="23"/>
        <v>0</v>
      </c>
      <c r="I164" s="81">
        <f t="shared" si="23"/>
        <v>0</v>
      </c>
      <c r="J164" s="81">
        <f t="shared" si="23"/>
        <v>0</v>
      </c>
    </row>
    <row r="165" spans="1:10">
      <c r="A165" s="80" t="s">
        <v>307</v>
      </c>
      <c r="B165" s="192">
        <v>5</v>
      </c>
      <c r="C165" s="192">
        <v>300</v>
      </c>
      <c r="D165" s="81">
        <f t="shared" ref="D165:J165" si="24">B12*$B$165*$C$165*D149</f>
        <v>0</v>
      </c>
      <c r="E165" s="81">
        <f t="shared" si="24"/>
        <v>0</v>
      </c>
      <c r="F165" s="81">
        <f t="shared" si="24"/>
        <v>0</v>
      </c>
      <c r="G165" s="81">
        <f t="shared" si="24"/>
        <v>0</v>
      </c>
      <c r="H165" s="81">
        <f t="shared" si="24"/>
        <v>0</v>
      </c>
      <c r="I165" s="81">
        <f t="shared" si="24"/>
        <v>0</v>
      </c>
      <c r="J165" s="81">
        <f t="shared" si="24"/>
        <v>0</v>
      </c>
    </row>
    <row r="166" spans="1:10">
      <c r="A166" s="80" t="s">
        <v>139</v>
      </c>
      <c r="B166" s="80">
        <v>0</v>
      </c>
      <c r="C166" s="192">
        <v>8</v>
      </c>
      <c r="D166" s="81">
        <f t="shared" ref="D166:J166" si="25">$B$166*$C$166*B12*D149</f>
        <v>0</v>
      </c>
      <c r="E166" s="81">
        <f t="shared" si="25"/>
        <v>0</v>
      </c>
      <c r="F166" s="81">
        <f t="shared" si="25"/>
        <v>0</v>
      </c>
      <c r="G166" s="81">
        <f t="shared" si="25"/>
        <v>0</v>
      </c>
      <c r="H166" s="81">
        <f t="shared" si="25"/>
        <v>0</v>
      </c>
      <c r="I166" s="81">
        <f t="shared" si="25"/>
        <v>0</v>
      </c>
      <c r="J166" s="81">
        <f t="shared" si="25"/>
        <v>0</v>
      </c>
    </row>
    <row r="167" spans="1:10">
      <c r="A167" s="80" t="s">
        <v>284</v>
      </c>
      <c r="B167" s="80" t="s">
        <v>349</v>
      </c>
      <c r="C167" s="192">
        <v>10</v>
      </c>
      <c r="D167" s="81">
        <f>B62*$C167*D$149</f>
        <v>0</v>
      </c>
      <c r="E167" s="81">
        <f t="shared" ref="E167:J167" si="26">C62*$C167*E$149</f>
        <v>0</v>
      </c>
      <c r="F167" s="81">
        <f t="shared" si="26"/>
        <v>0</v>
      </c>
      <c r="G167" s="81">
        <f t="shared" si="26"/>
        <v>0</v>
      </c>
      <c r="H167" s="81">
        <f t="shared" si="26"/>
        <v>0</v>
      </c>
      <c r="I167" s="81">
        <f t="shared" si="26"/>
        <v>0</v>
      </c>
      <c r="J167" s="81">
        <f t="shared" si="26"/>
        <v>0</v>
      </c>
    </row>
    <row r="168" spans="1:10">
      <c r="A168" s="92" t="s">
        <v>285</v>
      </c>
      <c r="B168" s="92"/>
      <c r="C168" s="217">
        <v>2</v>
      </c>
      <c r="D168" s="81">
        <f>SUM(B141:B143)*$C$168*D$149</f>
        <v>0</v>
      </c>
      <c r="E168" s="81">
        <f t="shared" ref="E168:J168" si="27">SUM(C141:C143)*$C$168*E$149</f>
        <v>0</v>
      </c>
      <c r="F168" s="81">
        <f t="shared" si="27"/>
        <v>0</v>
      </c>
      <c r="G168" s="81">
        <f t="shared" si="27"/>
        <v>0</v>
      </c>
      <c r="H168" s="81">
        <f t="shared" si="27"/>
        <v>0</v>
      </c>
      <c r="I168" s="81">
        <f t="shared" si="27"/>
        <v>0</v>
      </c>
      <c r="J168" s="81">
        <f t="shared" si="27"/>
        <v>0</v>
      </c>
    </row>
    <row r="169" spans="1:10">
      <c r="A169" s="80" t="s">
        <v>286</v>
      </c>
      <c r="B169" s="80"/>
      <c r="C169" s="192">
        <v>1</v>
      </c>
      <c r="D169" s="81">
        <f>SUM(B141:B143)*$C$169*D$149</f>
        <v>0</v>
      </c>
      <c r="E169" s="81">
        <f t="shared" ref="E169:J169" si="28">SUM(C141:C143)*$C$169*E$149</f>
        <v>0</v>
      </c>
      <c r="F169" s="81">
        <f t="shared" si="28"/>
        <v>0</v>
      </c>
      <c r="G169" s="81">
        <f t="shared" si="28"/>
        <v>0</v>
      </c>
      <c r="H169" s="81">
        <f t="shared" si="28"/>
        <v>0</v>
      </c>
      <c r="I169" s="81">
        <f t="shared" si="28"/>
        <v>0</v>
      </c>
      <c r="J169" s="81">
        <f t="shared" si="28"/>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57" t="s">
        <v>329</v>
      </c>
      <c r="B174" s="81"/>
      <c r="C174" s="81"/>
      <c r="D174" s="81"/>
      <c r="E174" s="81">
        <v>0</v>
      </c>
      <c r="F174" s="81">
        <v>0</v>
      </c>
      <c r="G174" s="81">
        <v>0</v>
      </c>
      <c r="H174" s="81">
        <v>0</v>
      </c>
      <c r="I174" s="81">
        <v>0</v>
      </c>
      <c r="J174" s="81">
        <v>0</v>
      </c>
    </row>
    <row r="175" spans="1:10">
      <c r="A175" s="157" t="s">
        <v>330</v>
      </c>
      <c r="B175" s="81"/>
      <c r="C175" s="81"/>
      <c r="D175" s="81">
        <v>0</v>
      </c>
      <c r="E175" s="81">
        <v>0</v>
      </c>
      <c r="F175" s="81">
        <v>0</v>
      </c>
      <c r="G175" s="81">
        <v>0</v>
      </c>
      <c r="H175" s="81">
        <v>0</v>
      </c>
      <c r="I175" s="81">
        <v>0</v>
      </c>
      <c r="J175" s="81">
        <v>0</v>
      </c>
    </row>
    <row r="176" spans="1:10">
      <c r="A176" s="81"/>
      <c r="B176" s="81"/>
      <c r="C176" s="81"/>
      <c r="D176" s="81"/>
      <c r="E176" s="81"/>
      <c r="F176" s="81"/>
      <c r="G176" s="81"/>
      <c r="H176" s="81"/>
      <c r="I176" s="81"/>
      <c r="J176" s="81"/>
    </row>
    <row r="177" spans="1:10">
      <c r="A177" s="98" t="s">
        <v>308</v>
      </c>
      <c r="B177" s="81"/>
      <c r="C177" s="81"/>
      <c r="D177" s="98">
        <f t="shared" ref="D177:J177" si="29">SUM(D163:D174)-D175</f>
        <v>0</v>
      </c>
      <c r="E177" s="98">
        <f t="shared" si="29"/>
        <v>0</v>
      </c>
      <c r="F177" s="98">
        <f t="shared" si="29"/>
        <v>0</v>
      </c>
      <c r="G177" s="98">
        <f t="shared" si="29"/>
        <v>0</v>
      </c>
      <c r="H177" s="98">
        <f t="shared" si="29"/>
        <v>0</v>
      </c>
      <c r="I177" s="98">
        <f t="shared" si="29"/>
        <v>0</v>
      </c>
      <c r="J177" s="98">
        <f t="shared" si="29"/>
        <v>0</v>
      </c>
    </row>
    <row r="178" spans="1:10">
      <c r="A178" s="79"/>
      <c r="B178" s="79"/>
      <c r="C178" s="79"/>
      <c r="D178" s="79"/>
      <c r="E178" s="79"/>
      <c r="F178" s="79"/>
      <c r="G178" s="79"/>
      <c r="H178" s="79"/>
      <c r="I178" s="79"/>
      <c r="J178" s="79"/>
    </row>
    <row r="179" spans="1:10">
      <c r="A179" s="158" t="s">
        <v>299</v>
      </c>
      <c r="B179" s="158"/>
      <c r="C179" s="158"/>
      <c r="D179" s="98"/>
      <c r="E179" s="98"/>
      <c r="F179" s="98"/>
      <c r="G179" s="98"/>
      <c r="H179" s="98"/>
      <c r="I179" s="98"/>
      <c r="J179" s="98"/>
    </row>
    <row r="180" spans="1:10">
      <c r="A180" s="80" t="s">
        <v>182</v>
      </c>
      <c r="B180" s="192">
        <v>1</v>
      </c>
      <c r="C180" s="215"/>
      <c r="D180" s="81">
        <f t="shared" ref="D180:J180" si="30">$B$180*$C$180*12*D149</f>
        <v>0</v>
      </c>
      <c r="E180" s="81">
        <f t="shared" si="30"/>
        <v>0</v>
      </c>
      <c r="F180" s="81">
        <f t="shared" si="30"/>
        <v>0</v>
      </c>
      <c r="G180" s="81">
        <f t="shared" si="30"/>
        <v>0</v>
      </c>
      <c r="H180" s="81">
        <f t="shared" si="30"/>
        <v>0</v>
      </c>
      <c r="I180" s="81">
        <f t="shared" si="30"/>
        <v>0</v>
      </c>
      <c r="J180" s="81">
        <f t="shared" si="30"/>
        <v>0</v>
      </c>
    </row>
    <row r="181" spans="1:10">
      <c r="A181" s="80" t="s">
        <v>184</v>
      </c>
      <c r="B181" s="192">
        <v>2</v>
      </c>
      <c r="C181" s="215"/>
      <c r="D181" s="81">
        <f t="shared" ref="D181:J181" si="31">$B$181*$C$181*12*D149</f>
        <v>0</v>
      </c>
      <c r="E181" s="81">
        <f t="shared" si="31"/>
        <v>0</v>
      </c>
      <c r="F181" s="81">
        <f t="shared" si="31"/>
        <v>0</v>
      </c>
      <c r="G181" s="81">
        <f t="shared" si="31"/>
        <v>0</v>
      </c>
      <c r="H181" s="81">
        <f t="shared" si="31"/>
        <v>0</v>
      </c>
      <c r="I181" s="81">
        <f t="shared" si="31"/>
        <v>0</v>
      </c>
      <c r="J181" s="81">
        <f t="shared" si="31"/>
        <v>0</v>
      </c>
    </row>
    <row r="182" spans="1:10">
      <c r="A182" s="80"/>
      <c r="B182" s="192"/>
      <c r="C182" s="215"/>
      <c r="D182" s="81"/>
      <c r="E182" s="81"/>
      <c r="F182" s="81"/>
      <c r="G182" s="81"/>
      <c r="H182" s="81"/>
      <c r="I182" s="81"/>
      <c r="J182" s="81"/>
    </row>
    <row r="183" spans="1:10">
      <c r="A183" s="80"/>
      <c r="B183" s="192"/>
      <c r="C183" s="215"/>
      <c r="D183" s="81"/>
      <c r="E183" s="81"/>
      <c r="F183" s="81"/>
      <c r="G183" s="81"/>
      <c r="H183" s="81"/>
      <c r="I183" s="81"/>
      <c r="J183" s="81"/>
    </row>
    <row r="184" spans="1:10">
      <c r="A184" s="80"/>
      <c r="B184" s="192"/>
      <c r="C184" s="215"/>
      <c r="D184" s="81"/>
      <c r="E184" s="81"/>
      <c r="F184" s="81"/>
      <c r="G184" s="81"/>
      <c r="H184" s="81"/>
      <c r="I184" s="81"/>
      <c r="J184" s="81"/>
    </row>
    <row r="185" spans="1:10">
      <c r="A185" s="82" t="s">
        <v>299</v>
      </c>
      <c r="B185" s="82"/>
      <c r="C185" s="82"/>
      <c r="D185" s="98">
        <f>SUM(D180:D184)</f>
        <v>0</v>
      </c>
      <c r="E185" s="98">
        <f t="shared" ref="E185:J185" si="32">SUM(E180:E184)</f>
        <v>0</v>
      </c>
      <c r="F185" s="98">
        <f t="shared" si="32"/>
        <v>0</v>
      </c>
      <c r="G185" s="98">
        <f t="shared" si="32"/>
        <v>0</v>
      </c>
      <c r="H185" s="98">
        <f t="shared" si="32"/>
        <v>0</v>
      </c>
      <c r="I185" s="98">
        <f t="shared" si="32"/>
        <v>0</v>
      </c>
      <c r="J185" s="98">
        <f t="shared" si="32"/>
        <v>0</v>
      </c>
    </row>
    <row r="186" spans="1:10">
      <c r="A186" s="158" t="s">
        <v>287</v>
      </c>
      <c r="B186" s="158"/>
      <c r="C186" s="158"/>
      <c r="D186" s="98">
        <f>D177+D185</f>
        <v>0</v>
      </c>
      <c r="E186" s="98">
        <f t="shared" ref="E186:J186" si="33">E177+E185</f>
        <v>0</v>
      </c>
      <c r="F186" s="98">
        <f t="shared" si="33"/>
        <v>0</v>
      </c>
      <c r="G186" s="98">
        <f t="shared" si="33"/>
        <v>0</v>
      </c>
      <c r="H186" s="98">
        <f t="shared" si="33"/>
        <v>0</v>
      </c>
      <c r="I186" s="98">
        <f t="shared" si="33"/>
        <v>0</v>
      </c>
      <c r="J186" s="98">
        <f t="shared" si="33"/>
        <v>0</v>
      </c>
    </row>
    <row r="187" spans="1:10">
      <c r="A187" s="80"/>
      <c r="B187" s="80"/>
      <c r="C187" s="80"/>
      <c r="D187" s="81"/>
      <c r="E187" s="81"/>
      <c r="F187" s="81"/>
      <c r="G187" s="81"/>
      <c r="H187" s="81"/>
      <c r="I187" s="81"/>
      <c r="J187" s="81"/>
    </row>
    <row r="188" spans="1:10">
      <c r="A188" s="82" t="s">
        <v>7</v>
      </c>
      <c r="B188" s="82"/>
      <c r="C188" s="82"/>
      <c r="D188" s="98">
        <f t="shared" ref="D188:J188" si="34">D159-D186</f>
        <v>0</v>
      </c>
      <c r="E188" s="98">
        <f t="shared" si="34"/>
        <v>0</v>
      </c>
      <c r="F188" s="98">
        <f t="shared" si="34"/>
        <v>0</v>
      </c>
      <c r="G188" s="98">
        <f t="shared" si="34"/>
        <v>0</v>
      </c>
      <c r="H188" s="98">
        <f t="shared" si="34"/>
        <v>0</v>
      </c>
      <c r="I188" s="98">
        <f t="shared" si="34"/>
        <v>0</v>
      </c>
      <c r="J188" s="98">
        <f t="shared" si="34"/>
        <v>0</v>
      </c>
    </row>
    <row r="189" spans="1:10">
      <c r="A189" s="99"/>
      <c r="B189" s="99"/>
      <c r="C189" s="99"/>
      <c r="D189" s="79"/>
      <c r="E189" s="79"/>
      <c r="F189" s="79"/>
      <c r="G189" s="79"/>
      <c r="H189" s="79"/>
      <c r="I189" s="79"/>
      <c r="J189" s="79"/>
    </row>
    <row r="190" spans="1:10">
      <c r="A190" s="79"/>
      <c r="B190" s="79"/>
      <c r="C190" s="79"/>
      <c r="D190" s="79"/>
      <c r="E190" s="79"/>
      <c r="F190" s="79"/>
      <c r="G190" s="79"/>
      <c r="H190" s="79"/>
      <c r="I190" s="79"/>
      <c r="J190" s="79"/>
    </row>
    <row r="191" spans="1:10">
      <c r="A191" s="79"/>
      <c r="B191" s="79"/>
      <c r="C191" s="79"/>
      <c r="D191" s="79"/>
      <c r="E191" s="79"/>
      <c r="F191" s="79"/>
      <c r="G191" s="79"/>
      <c r="H191" s="79"/>
      <c r="I191" s="79"/>
      <c r="J191" s="79"/>
    </row>
    <row r="192" spans="1:10">
      <c r="A192" s="677" t="s">
        <v>403</v>
      </c>
      <c r="B192" s="677"/>
      <c r="C192" s="677"/>
      <c r="D192" s="677"/>
      <c r="E192" s="677"/>
      <c r="F192" s="677"/>
      <c r="G192" s="677"/>
      <c r="H192" s="677"/>
      <c r="I192" s="677"/>
      <c r="J192" s="677"/>
    </row>
    <row r="194" spans="1:5">
      <c r="A194" t="s">
        <v>479</v>
      </c>
    </row>
    <row r="195" spans="1:5">
      <c r="A195">
        <v>1</v>
      </c>
      <c r="B195" t="s">
        <v>489</v>
      </c>
    </row>
    <row r="196" spans="1:5">
      <c r="A196">
        <v>2</v>
      </c>
      <c r="B196" t="s">
        <v>490</v>
      </c>
      <c r="C196" s="56"/>
      <c r="D196" s="56"/>
      <c r="E196" s="56"/>
    </row>
    <row r="197" spans="1:5">
      <c r="A197">
        <v>3</v>
      </c>
      <c r="B197" s="79" t="s">
        <v>536</v>
      </c>
    </row>
  </sheetData>
  <mergeCells count="4">
    <mergeCell ref="A192:J192"/>
    <mergeCell ref="A3:H3"/>
    <mergeCell ref="A4:H4"/>
    <mergeCell ref="A147:J147"/>
  </mergeCells>
  <pageMargins left="0.7" right="0.7" top="0.75" bottom="0.75" header="0.3" footer="0.3"/>
  <pageSetup paperSize="9" scale="53" orientation="portrait" r:id="rId1"/>
  <rowBreaks count="2" manualBreakCount="2">
    <brk id="63" max="7" man="1"/>
    <brk id="123" max="7" man="1"/>
  </rowBreaks>
  <colBreaks count="1" manualBreakCount="1">
    <brk id="10" min="2" max="54"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56"/>
  <sheetViews>
    <sheetView view="pageBreakPreview" zoomScale="40" zoomScaleSheetLayoutView="40" workbookViewId="0">
      <selection activeCell="P84" sqref="P84"/>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743" t="s">
        <v>525</v>
      </c>
      <c r="B2" s="743"/>
      <c r="C2" s="743"/>
      <c r="D2" s="743"/>
      <c r="E2" s="743"/>
      <c r="F2" s="743"/>
      <c r="G2" s="743"/>
      <c r="H2" s="743"/>
    </row>
    <row r="3" spans="1:10" ht="18.75">
      <c r="A3" s="743" t="s">
        <v>526</v>
      </c>
      <c r="B3" s="743"/>
      <c r="C3" s="743"/>
      <c r="D3" s="743"/>
      <c r="E3" s="743"/>
      <c r="F3" s="743"/>
      <c r="G3" s="743"/>
      <c r="H3" s="743"/>
    </row>
    <row r="4" spans="1:10">
      <c r="A4" s="149" t="s">
        <v>156</v>
      </c>
      <c r="B4" s="220"/>
      <c r="C4" s="147" t="s">
        <v>288</v>
      </c>
      <c r="D4" s="147"/>
      <c r="E4" s="147"/>
      <c r="F4" s="147"/>
      <c r="G4" s="148"/>
      <c r="H4" s="79"/>
    </row>
    <row r="5" spans="1:10">
      <c r="A5" s="149"/>
      <c r="B5" s="150"/>
      <c r="C5" s="148"/>
      <c r="D5" s="148"/>
      <c r="E5" s="148"/>
      <c r="F5" s="148"/>
      <c r="G5" s="148"/>
      <c r="H5" s="79"/>
    </row>
    <row r="6" spans="1:10">
      <c r="A6" s="149" t="s">
        <v>290</v>
      </c>
      <c r="B6" s="151">
        <v>12</v>
      </c>
      <c r="C6" s="148"/>
      <c r="D6" s="151"/>
      <c r="E6" s="151"/>
      <c r="F6" s="148"/>
      <c r="G6" s="148"/>
      <c r="H6" s="79"/>
    </row>
    <row r="7" spans="1:10">
      <c r="A7" s="149"/>
      <c r="B7" s="79"/>
      <c r="C7" s="151"/>
      <c r="D7" s="151"/>
      <c r="E7" s="151"/>
      <c r="F7" s="148"/>
      <c r="G7" s="148"/>
      <c r="H7" s="79"/>
    </row>
    <row r="8" spans="1:10">
      <c r="A8" s="122" t="s">
        <v>125</v>
      </c>
      <c r="B8" s="102" t="s">
        <v>2</v>
      </c>
      <c r="C8" s="102" t="s">
        <v>3</v>
      </c>
      <c r="D8" s="102" t="s">
        <v>4</v>
      </c>
      <c r="E8" s="102" t="s">
        <v>5</v>
      </c>
      <c r="F8" s="102" t="s">
        <v>6</v>
      </c>
      <c r="G8" s="102" t="s">
        <v>163</v>
      </c>
      <c r="H8" s="102" t="s">
        <v>162</v>
      </c>
    </row>
    <row r="9" spans="1:10">
      <c r="A9" s="80" t="s">
        <v>291</v>
      </c>
      <c r="B9" s="235">
        <v>0.8</v>
      </c>
      <c r="C9" s="235">
        <f>B9+5%</f>
        <v>0.85000000000000009</v>
      </c>
      <c r="D9" s="235">
        <f>C9+5%</f>
        <v>0.90000000000000013</v>
      </c>
      <c r="E9" s="235">
        <f>D9+5%</f>
        <v>0.95000000000000018</v>
      </c>
      <c r="F9" s="235">
        <f>E9+5%</f>
        <v>1.0000000000000002</v>
      </c>
      <c r="G9" s="235">
        <f>F9</f>
        <v>1.0000000000000002</v>
      </c>
      <c r="H9" s="235">
        <f>G9</f>
        <v>1.0000000000000002</v>
      </c>
    </row>
    <row r="10" spans="1:10">
      <c r="A10" s="82" t="s">
        <v>309</v>
      </c>
      <c r="B10" s="153">
        <f t="shared" ref="B10:H10" si="0">$B$4*B9*$B$6</f>
        <v>0</v>
      </c>
      <c r="C10" s="153">
        <f t="shared" si="0"/>
        <v>0</v>
      </c>
      <c r="D10" s="153">
        <f t="shared" si="0"/>
        <v>0</v>
      </c>
      <c r="E10" s="153">
        <f t="shared" si="0"/>
        <v>0</v>
      </c>
      <c r="F10" s="153">
        <f t="shared" si="0"/>
        <v>0</v>
      </c>
      <c r="G10" s="153">
        <f t="shared" si="0"/>
        <v>0</v>
      </c>
      <c r="H10" s="153">
        <f t="shared" si="0"/>
        <v>0</v>
      </c>
    </row>
    <row r="15" spans="1:10" ht="18.75">
      <c r="A15" s="676" t="s">
        <v>527</v>
      </c>
      <c r="B15" s="676"/>
      <c r="C15" s="676"/>
      <c r="D15" s="676"/>
      <c r="E15" s="676"/>
      <c r="F15" s="676"/>
      <c r="G15" s="676"/>
      <c r="H15" s="676"/>
      <c r="I15" s="676"/>
      <c r="J15" s="676"/>
    </row>
    <row r="16" spans="1:10">
      <c r="A16" s="14"/>
      <c r="B16" s="52"/>
      <c r="C16" s="28"/>
      <c r="D16" s="14"/>
      <c r="E16" s="14"/>
      <c r="F16" s="14"/>
      <c r="G16" s="14"/>
      <c r="H16" s="14"/>
    </row>
    <row r="17" spans="1:10">
      <c r="A17" s="79"/>
      <c r="B17" s="79"/>
      <c r="C17" s="79"/>
      <c r="D17" s="143">
        <v>1</v>
      </c>
      <c r="E17" s="146">
        <f>(D17*5%)+D17</f>
        <v>1.05</v>
      </c>
      <c r="F17" s="146">
        <f t="shared" ref="F17:J17" si="1">(E17*5%)+E17</f>
        <v>1.1025</v>
      </c>
      <c r="G17" s="146">
        <f t="shared" si="1"/>
        <v>1.1576250000000001</v>
      </c>
      <c r="H17" s="146">
        <f t="shared" si="1"/>
        <v>1.2155062500000002</v>
      </c>
      <c r="I17" s="146">
        <f t="shared" si="1"/>
        <v>1.2762815625000004</v>
      </c>
      <c r="J17" s="146">
        <f t="shared" si="1"/>
        <v>1.3400956406250004</v>
      </c>
    </row>
    <row r="18" spans="1:10">
      <c r="A18" s="122" t="s">
        <v>0</v>
      </c>
      <c r="B18" s="122" t="s">
        <v>128</v>
      </c>
      <c r="C18" s="122" t="s">
        <v>148</v>
      </c>
      <c r="D18" s="102" t="s">
        <v>2</v>
      </c>
      <c r="E18" s="102" t="s">
        <v>3</v>
      </c>
      <c r="F18" s="102" t="s">
        <v>4</v>
      </c>
      <c r="G18" s="102" t="s">
        <v>5</v>
      </c>
      <c r="H18" s="102" t="s">
        <v>6</v>
      </c>
      <c r="I18" s="102" t="s">
        <v>163</v>
      </c>
      <c r="J18" s="102" t="s">
        <v>162</v>
      </c>
    </row>
    <row r="19" spans="1:10">
      <c r="A19" s="80"/>
      <c r="B19" s="80"/>
      <c r="C19" s="80"/>
      <c r="D19" s="80"/>
      <c r="E19" s="80"/>
      <c r="F19" s="80"/>
      <c r="G19" s="80"/>
      <c r="H19" s="80"/>
      <c r="I19" s="80"/>
      <c r="J19" s="80"/>
    </row>
    <row r="20" spans="1:10">
      <c r="A20" s="82" t="s">
        <v>171</v>
      </c>
      <c r="B20" s="82"/>
      <c r="C20" s="82"/>
      <c r="D20" s="80"/>
      <c r="E20" s="80"/>
      <c r="F20" s="80"/>
      <c r="G20" s="80"/>
      <c r="H20" s="80"/>
      <c r="I20" s="80"/>
      <c r="J20" s="80"/>
    </row>
    <row r="21" spans="1:10">
      <c r="A21" s="80" t="s">
        <v>311</v>
      </c>
      <c r="B21" s="80"/>
      <c r="C21" s="215">
        <v>100</v>
      </c>
      <c r="D21" s="81">
        <f t="shared" ref="D21:J21" si="2">B10*$C$21*D17</f>
        <v>0</v>
      </c>
      <c r="E21" s="81">
        <f t="shared" si="2"/>
        <v>0</v>
      </c>
      <c r="F21" s="81">
        <f t="shared" si="2"/>
        <v>0</v>
      </c>
      <c r="G21" s="81">
        <f t="shared" si="2"/>
        <v>0</v>
      </c>
      <c r="H21" s="81">
        <f t="shared" si="2"/>
        <v>0</v>
      </c>
      <c r="I21" s="81">
        <f t="shared" si="2"/>
        <v>0</v>
      </c>
      <c r="J21" s="81">
        <f t="shared" si="2"/>
        <v>0</v>
      </c>
    </row>
    <row r="22" spans="1:10">
      <c r="A22" s="80"/>
      <c r="B22" s="80"/>
      <c r="C22" s="81"/>
      <c r="D22" s="81"/>
      <c r="E22" s="81"/>
      <c r="F22" s="81"/>
      <c r="G22" s="81"/>
      <c r="H22" s="81"/>
      <c r="I22" s="81"/>
      <c r="J22" s="81"/>
    </row>
    <row r="23" spans="1:10">
      <c r="A23" s="82" t="s">
        <v>138</v>
      </c>
      <c r="B23" s="82"/>
      <c r="C23" s="98"/>
      <c r="D23" s="81">
        <f t="shared" ref="D23:J23" si="3">SUM(D21:D21)</f>
        <v>0</v>
      </c>
      <c r="E23" s="81">
        <f t="shared" si="3"/>
        <v>0</v>
      </c>
      <c r="F23" s="81">
        <f t="shared" si="3"/>
        <v>0</v>
      </c>
      <c r="G23" s="81">
        <f t="shared" si="3"/>
        <v>0</v>
      </c>
      <c r="H23" s="81">
        <f t="shared" si="3"/>
        <v>0</v>
      </c>
      <c r="I23" s="81">
        <f t="shared" si="3"/>
        <v>0</v>
      </c>
      <c r="J23" s="81">
        <f t="shared" si="3"/>
        <v>0</v>
      </c>
    </row>
    <row r="24" spans="1:10">
      <c r="A24" s="80"/>
      <c r="B24" s="80"/>
      <c r="C24" s="81"/>
      <c r="D24" s="81"/>
      <c r="E24" s="81"/>
      <c r="F24" s="81"/>
      <c r="G24" s="81"/>
      <c r="H24" s="81"/>
      <c r="I24" s="81"/>
      <c r="J24" s="81"/>
    </row>
    <row r="25" spans="1:10">
      <c r="A25" s="82" t="s">
        <v>137</v>
      </c>
      <c r="B25" s="82"/>
      <c r="C25" s="81"/>
      <c r="D25" s="81"/>
      <c r="E25" s="81"/>
      <c r="F25" s="81"/>
      <c r="G25" s="81"/>
      <c r="H25" s="81"/>
      <c r="I25" s="81"/>
      <c r="J25" s="81"/>
    </row>
    <row r="26" spans="1:10">
      <c r="A26" s="82" t="s">
        <v>301</v>
      </c>
      <c r="B26" s="82"/>
      <c r="C26" s="81"/>
      <c r="D26" s="81"/>
      <c r="E26" s="81"/>
      <c r="F26" s="81"/>
      <c r="G26" s="81"/>
      <c r="H26" s="81"/>
      <c r="I26" s="81"/>
      <c r="J26" s="81"/>
    </row>
    <row r="27" spans="1:10">
      <c r="A27" s="80" t="s">
        <v>292</v>
      </c>
      <c r="B27" s="192" t="s">
        <v>288</v>
      </c>
      <c r="C27" s="215">
        <v>15</v>
      </c>
      <c r="D27" s="81">
        <f t="shared" ref="D27:J27" si="4">$B$4*$C$27*D17*4</f>
        <v>0</v>
      </c>
      <c r="E27" s="81">
        <f t="shared" si="4"/>
        <v>0</v>
      </c>
      <c r="F27" s="81">
        <f t="shared" si="4"/>
        <v>0</v>
      </c>
      <c r="G27" s="81">
        <f t="shared" si="4"/>
        <v>0</v>
      </c>
      <c r="H27" s="81">
        <f t="shared" si="4"/>
        <v>0</v>
      </c>
      <c r="I27" s="81">
        <f t="shared" si="4"/>
        <v>0</v>
      </c>
      <c r="J27" s="81">
        <f t="shared" si="4"/>
        <v>0</v>
      </c>
    </row>
    <row r="28" spans="1:10">
      <c r="A28" s="80" t="s">
        <v>293</v>
      </c>
      <c r="B28" s="192" t="s">
        <v>288</v>
      </c>
      <c r="C28" s="215">
        <v>14</v>
      </c>
      <c r="D28" s="81">
        <f t="shared" ref="D28:J28" si="5">$B$4*$C$28*D17*12</f>
        <v>0</v>
      </c>
      <c r="E28" s="81">
        <f t="shared" si="5"/>
        <v>0</v>
      </c>
      <c r="F28" s="81">
        <f t="shared" si="5"/>
        <v>0</v>
      </c>
      <c r="G28" s="81">
        <f t="shared" si="5"/>
        <v>0</v>
      </c>
      <c r="H28" s="81">
        <f t="shared" si="5"/>
        <v>0</v>
      </c>
      <c r="I28" s="81">
        <f t="shared" si="5"/>
        <v>0</v>
      </c>
      <c r="J28" s="81">
        <f t="shared" si="5"/>
        <v>0</v>
      </c>
    </row>
    <row r="29" spans="1:10">
      <c r="A29" s="80" t="s">
        <v>294</v>
      </c>
      <c r="B29" s="192"/>
      <c r="C29" s="215">
        <f>B4*10</f>
        <v>0</v>
      </c>
      <c r="D29" s="81">
        <f>$C$29*12*D17</f>
        <v>0</v>
      </c>
      <c r="E29" s="81">
        <f t="shared" ref="E29:J29" si="6">$C$29*12*E17</f>
        <v>0</v>
      </c>
      <c r="F29" s="81">
        <f t="shared" si="6"/>
        <v>0</v>
      </c>
      <c r="G29" s="81">
        <f t="shared" si="6"/>
        <v>0</v>
      </c>
      <c r="H29" s="81">
        <f t="shared" si="6"/>
        <v>0</v>
      </c>
      <c r="I29" s="81">
        <f t="shared" si="6"/>
        <v>0</v>
      </c>
      <c r="J29" s="81">
        <f t="shared" si="6"/>
        <v>0</v>
      </c>
    </row>
    <row r="30" spans="1:10">
      <c r="A30" s="80"/>
      <c r="B30" s="192"/>
      <c r="C30" s="215"/>
      <c r="D30" s="81"/>
      <c r="E30" s="81"/>
      <c r="F30" s="81"/>
      <c r="G30" s="81"/>
      <c r="H30" s="81"/>
      <c r="I30" s="81"/>
      <c r="J30" s="81"/>
    </row>
    <row r="31" spans="1:10">
      <c r="A31" s="80"/>
      <c r="B31" s="192"/>
      <c r="C31" s="215"/>
      <c r="D31" s="81"/>
      <c r="E31" s="81"/>
      <c r="F31" s="81"/>
      <c r="G31" s="81"/>
      <c r="H31" s="81"/>
      <c r="I31" s="81"/>
      <c r="J31" s="81"/>
    </row>
    <row r="32" spans="1:10">
      <c r="A32" s="80"/>
      <c r="B32" s="192"/>
      <c r="C32" s="215"/>
      <c r="D32" s="81"/>
      <c r="E32" s="81"/>
      <c r="F32" s="81"/>
      <c r="G32" s="81"/>
      <c r="H32" s="81"/>
      <c r="I32" s="81"/>
      <c r="J32" s="81"/>
    </row>
    <row r="33" spans="1:10">
      <c r="A33" s="80"/>
      <c r="B33" s="192"/>
      <c r="C33" s="215"/>
      <c r="D33" s="81"/>
      <c r="E33" s="81"/>
      <c r="F33" s="81"/>
      <c r="G33" s="81"/>
      <c r="H33" s="81"/>
      <c r="I33" s="81"/>
      <c r="J33" s="81"/>
    </row>
    <row r="34" spans="1:10">
      <c r="A34" s="82" t="s">
        <v>308</v>
      </c>
      <c r="B34" s="197"/>
      <c r="C34" s="219"/>
      <c r="D34" s="98">
        <f>SUM(D27:D33)</f>
        <v>0</v>
      </c>
      <c r="E34" s="98">
        <f t="shared" ref="E34:J34" si="7">SUM(E27:E33)</f>
        <v>0</v>
      </c>
      <c r="F34" s="98">
        <f t="shared" si="7"/>
        <v>0</v>
      </c>
      <c r="G34" s="98">
        <f t="shared" si="7"/>
        <v>0</v>
      </c>
      <c r="H34" s="98">
        <f t="shared" si="7"/>
        <v>0</v>
      </c>
      <c r="I34" s="98">
        <f t="shared" si="7"/>
        <v>0</v>
      </c>
      <c r="J34" s="98">
        <f t="shared" si="7"/>
        <v>0</v>
      </c>
    </row>
    <row r="35" spans="1:10">
      <c r="A35" s="82"/>
      <c r="B35" s="197"/>
      <c r="C35" s="219"/>
      <c r="D35" s="98"/>
      <c r="E35" s="98"/>
      <c r="F35" s="98"/>
      <c r="G35" s="98"/>
      <c r="H35" s="98"/>
      <c r="I35" s="98"/>
      <c r="J35" s="98"/>
    </row>
    <row r="36" spans="1:10">
      <c r="A36" s="82" t="s">
        <v>299</v>
      </c>
      <c r="B36" s="192"/>
      <c r="C36" s="215"/>
      <c r="D36" s="81"/>
      <c r="E36" s="81"/>
      <c r="F36" s="81"/>
      <c r="G36" s="81"/>
      <c r="H36" s="81"/>
      <c r="I36" s="81"/>
      <c r="J36" s="81"/>
    </row>
    <row r="37" spans="1:10">
      <c r="A37" s="80" t="s">
        <v>310</v>
      </c>
      <c r="B37" s="192">
        <v>1</v>
      </c>
      <c r="C37" s="215"/>
      <c r="D37" s="81">
        <f>$B$37*$C$37*D17*12</f>
        <v>0</v>
      </c>
      <c r="E37" s="81">
        <f t="shared" ref="E37:J37" si="8">$B$37*$C$37*E17*12</f>
        <v>0</v>
      </c>
      <c r="F37" s="81">
        <f t="shared" si="8"/>
        <v>0</v>
      </c>
      <c r="G37" s="81">
        <f t="shared" si="8"/>
        <v>0</v>
      </c>
      <c r="H37" s="81">
        <f t="shared" si="8"/>
        <v>0</v>
      </c>
      <c r="I37" s="81">
        <f t="shared" si="8"/>
        <v>0</v>
      </c>
      <c r="J37" s="81">
        <f t="shared" si="8"/>
        <v>0</v>
      </c>
    </row>
    <row r="38" spans="1:10">
      <c r="A38" s="80"/>
      <c r="B38" s="192"/>
      <c r="C38" s="215"/>
      <c r="D38" s="81"/>
      <c r="E38" s="81"/>
      <c r="F38" s="81"/>
      <c r="G38" s="81"/>
      <c r="H38" s="81"/>
      <c r="I38" s="81"/>
      <c r="J38" s="81"/>
    </row>
    <row r="39" spans="1:10">
      <c r="A39" s="80"/>
      <c r="B39" s="192"/>
      <c r="C39" s="215"/>
      <c r="D39" s="81"/>
      <c r="E39" s="81"/>
      <c r="F39" s="81"/>
      <c r="G39" s="81"/>
      <c r="H39" s="81"/>
      <c r="I39" s="81"/>
      <c r="J39" s="81"/>
    </row>
    <row r="40" spans="1:10">
      <c r="A40" s="80"/>
      <c r="B40" s="192"/>
      <c r="C40" s="215"/>
      <c r="D40" s="81"/>
      <c r="E40" s="81"/>
      <c r="F40" s="81"/>
      <c r="G40" s="81"/>
      <c r="H40" s="81"/>
      <c r="I40" s="81"/>
      <c r="J40" s="81"/>
    </row>
    <row r="41" spans="1:10">
      <c r="A41" s="80"/>
      <c r="B41" s="192"/>
      <c r="C41" s="215"/>
      <c r="D41" s="81"/>
      <c r="E41" s="81"/>
      <c r="F41" s="81"/>
      <c r="G41" s="81"/>
      <c r="H41" s="81"/>
      <c r="I41" s="81"/>
      <c r="J41" s="81"/>
    </row>
    <row r="42" spans="1:10">
      <c r="A42" s="80"/>
      <c r="B42" s="192"/>
      <c r="C42" s="215"/>
      <c r="D42" s="81"/>
      <c r="E42" s="81"/>
      <c r="F42" s="81"/>
      <c r="G42" s="81"/>
      <c r="H42" s="81"/>
      <c r="I42" s="81"/>
      <c r="J42" s="81"/>
    </row>
    <row r="43" spans="1:10">
      <c r="A43" s="82" t="s">
        <v>312</v>
      </c>
      <c r="B43" s="82"/>
      <c r="C43" s="98"/>
      <c r="D43" s="98">
        <f>SUM(D37:D42)</f>
        <v>0</v>
      </c>
      <c r="E43" s="98">
        <f t="shared" ref="E43:J43" si="9">SUM(E37:E42)</f>
        <v>0</v>
      </c>
      <c r="F43" s="98">
        <f t="shared" si="9"/>
        <v>0</v>
      </c>
      <c r="G43" s="98">
        <f t="shared" si="9"/>
        <v>0</v>
      </c>
      <c r="H43" s="98">
        <f t="shared" si="9"/>
        <v>0</v>
      </c>
      <c r="I43" s="98">
        <f t="shared" si="9"/>
        <v>0</v>
      </c>
      <c r="J43" s="98">
        <f t="shared" si="9"/>
        <v>0</v>
      </c>
    </row>
    <row r="44" spans="1:10">
      <c r="A44" s="82"/>
      <c r="B44" s="82"/>
      <c r="C44" s="98"/>
      <c r="D44" s="98"/>
      <c r="E44" s="98"/>
      <c r="F44" s="98"/>
      <c r="G44" s="98"/>
      <c r="H44" s="98"/>
      <c r="I44" s="98"/>
      <c r="J44" s="98"/>
    </row>
    <row r="45" spans="1:10">
      <c r="A45" s="82" t="s">
        <v>127</v>
      </c>
      <c r="B45" s="82"/>
      <c r="C45" s="98"/>
      <c r="D45" s="98">
        <f>D34+D43</f>
        <v>0</v>
      </c>
      <c r="E45" s="98">
        <f t="shared" ref="E45:J45" si="10">E34+E43</f>
        <v>0</v>
      </c>
      <c r="F45" s="98">
        <f t="shared" si="10"/>
        <v>0</v>
      </c>
      <c r="G45" s="98">
        <f t="shared" si="10"/>
        <v>0</v>
      </c>
      <c r="H45" s="98">
        <f t="shared" si="10"/>
        <v>0</v>
      </c>
      <c r="I45" s="98">
        <f t="shared" si="10"/>
        <v>0</v>
      </c>
      <c r="J45" s="98">
        <f t="shared" si="10"/>
        <v>0</v>
      </c>
    </row>
    <row r="46" spans="1:10">
      <c r="A46" s="80"/>
      <c r="B46" s="80"/>
      <c r="C46" s="81"/>
      <c r="D46" s="81"/>
      <c r="E46" s="81"/>
      <c r="F46" s="81"/>
      <c r="G46" s="81"/>
      <c r="H46" s="81"/>
      <c r="I46" s="81"/>
      <c r="J46" s="81"/>
    </row>
    <row r="47" spans="1:10">
      <c r="A47" s="82" t="s">
        <v>126</v>
      </c>
      <c r="B47" s="82"/>
      <c r="C47" s="98"/>
      <c r="D47" s="98">
        <f t="shared" ref="D47:J47" si="11">D23-D45</f>
        <v>0</v>
      </c>
      <c r="E47" s="98">
        <f t="shared" si="11"/>
        <v>0</v>
      </c>
      <c r="F47" s="98">
        <f t="shared" si="11"/>
        <v>0</v>
      </c>
      <c r="G47" s="98">
        <f t="shared" si="11"/>
        <v>0</v>
      </c>
      <c r="H47" s="98">
        <f t="shared" si="11"/>
        <v>0</v>
      </c>
      <c r="I47" s="98">
        <f t="shared" si="11"/>
        <v>0</v>
      </c>
      <c r="J47" s="98">
        <f t="shared" si="11"/>
        <v>0</v>
      </c>
    </row>
    <row r="48" spans="1:10">
      <c r="A48" s="79"/>
      <c r="B48" s="79"/>
      <c r="C48" s="79"/>
      <c r="D48" s="79"/>
      <c r="E48" s="79"/>
      <c r="F48" s="79"/>
      <c r="G48" s="79"/>
      <c r="H48" s="79"/>
      <c r="I48" s="79"/>
      <c r="J48" s="79"/>
    </row>
    <row r="49" spans="1:10">
      <c r="A49" s="79"/>
    </row>
    <row r="51" spans="1:10">
      <c r="A51" s="677" t="s">
        <v>403</v>
      </c>
      <c r="B51" s="677"/>
      <c r="C51" s="677"/>
      <c r="D51" s="677"/>
      <c r="E51" s="677"/>
      <c r="F51" s="677"/>
      <c r="G51" s="677"/>
      <c r="H51" s="677"/>
      <c r="I51" s="677"/>
      <c r="J51" s="677"/>
    </row>
    <row r="53" spans="1:10">
      <c r="A53" t="s">
        <v>479</v>
      </c>
    </row>
    <row r="54" spans="1:10">
      <c r="A54">
        <v>1</v>
      </c>
      <c r="B54" t="s">
        <v>489</v>
      </c>
    </row>
    <row r="55" spans="1:10">
      <c r="A55">
        <v>2</v>
      </c>
      <c r="B55" t="s">
        <v>490</v>
      </c>
    </row>
    <row r="56" spans="1:10">
      <c r="A56">
        <v>3</v>
      </c>
      <c r="B56" s="79" t="s">
        <v>536</v>
      </c>
    </row>
  </sheetData>
  <mergeCells count="4">
    <mergeCell ref="A15:J15"/>
    <mergeCell ref="A2:H2"/>
    <mergeCell ref="A51:J51"/>
    <mergeCell ref="A3:H3"/>
  </mergeCells>
  <pageMargins left="0.7" right="0.7" top="0.75" bottom="0.75" header="0.3" footer="0.3"/>
  <pageSetup paperSize="9" scale="73" orientation="portrait" r:id="rId1"/>
  <colBreaks count="1" manualBreakCount="1">
    <brk id="10"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68"/>
  <sheetViews>
    <sheetView view="pageBreakPreview" topLeftCell="A44" zoomScale="55" zoomScaleSheetLayoutView="55" workbookViewId="0">
      <selection activeCell="O54" sqref="O54"/>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676" t="s">
        <v>528</v>
      </c>
      <c r="B3" s="676"/>
      <c r="C3" s="676"/>
      <c r="D3" s="676"/>
      <c r="E3" s="676"/>
      <c r="F3" s="676"/>
      <c r="G3" s="676"/>
      <c r="H3" s="676"/>
      <c r="I3" s="676"/>
      <c r="J3" s="676"/>
      <c r="K3" s="676"/>
      <c r="L3" s="676"/>
    </row>
    <row r="4" spans="1:13" ht="18.75">
      <c r="A4" s="676" t="s">
        <v>529</v>
      </c>
      <c r="B4" s="676"/>
      <c r="C4" s="676"/>
      <c r="D4" s="676"/>
      <c r="E4" s="676"/>
      <c r="F4" s="676"/>
      <c r="G4" s="676"/>
      <c r="H4" s="676"/>
      <c r="I4" s="676"/>
      <c r="J4" s="676"/>
      <c r="K4" s="676"/>
      <c r="L4" s="676"/>
    </row>
    <row r="5" spans="1:13">
      <c r="A5" s="79"/>
      <c r="B5" s="79"/>
      <c r="C5" s="79"/>
    </row>
    <row r="6" spans="1:13">
      <c r="A6" s="79"/>
      <c r="B6" s="79"/>
      <c r="C6" s="79"/>
    </row>
    <row r="7" spans="1:13" ht="45">
      <c r="A7" s="245" t="s">
        <v>140</v>
      </c>
      <c r="B7" s="246" t="s">
        <v>411</v>
      </c>
      <c r="C7" s="246" t="s">
        <v>419</v>
      </c>
      <c r="D7" s="246" t="s">
        <v>417</v>
      </c>
      <c r="E7" s="246" t="s">
        <v>418</v>
      </c>
      <c r="F7" s="246" t="s">
        <v>295</v>
      </c>
      <c r="G7" s="246" t="s">
        <v>420</v>
      </c>
      <c r="H7" s="246" t="s">
        <v>421</v>
      </c>
      <c r="I7" s="246" t="s">
        <v>422</v>
      </c>
      <c r="J7" s="248" t="s">
        <v>425</v>
      </c>
      <c r="K7" s="246" t="s">
        <v>423</v>
      </c>
      <c r="L7" s="248" t="s">
        <v>424</v>
      </c>
      <c r="M7" s="246" t="s">
        <v>427</v>
      </c>
    </row>
    <row r="8" spans="1:13">
      <c r="A8" s="247">
        <v>1</v>
      </c>
      <c r="B8" s="242" t="s">
        <v>412</v>
      </c>
      <c r="C8" s="242"/>
      <c r="D8" s="242"/>
      <c r="E8" s="242">
        <v>6</v>
      </c>
      <c r="F8" s="250">
        <f>D8*E8*C8</f>
        <v>0</v>
      </c>
      <c r="G8" s="242">
        <v>4</v>
      </c>
      <c r="H8" s="250">
        <f>F8/G8</f>
        <v>0</v>
      </c>
      <c r="I8" s="242">
        <v>12</v>
      </c>
      <c r="J8" s="250">
        <f>H8*I8</f>
        <v>0</v>
      </c>
      <c r="K8" s="242">
        <v>3000</v>
      </c>
      <c r="L8" s="242">
        <v>1</v>
      </c>
      <c r="M8" s="250">
        <f t="shared" ref="M8:M17" si="0">D8*L8</f>
        <v>0</v>
      </c>
    </row>
    <row r="9" spans="1:13">
      <c r="A9" s="247">
        <v>2</v>
      </c>
      <c r="B9" s="242" t="s">
        <v>413</v>
      </c>
      <c r="C9" s="242"/>
      <c r="D9" s="242"/>
      <c r="E9" s="242">
        <v>6</v>
      </c>
      <c r="F9" s="250">
        <f t="shared" ref="F9:F17" si="1">D9*E9*C9</f>
        <v>0</v>
      </c>
      <c r="G9" s="242">
        <v>2</v>
      </c>
      <c r="H9" s="250">
        <f>F9/G9</f>
        <v>0</v>
      </c>
      <c r="I9" s="242">
        <v>8</v>
      </c>
      <c r="J9" s="250">
        <f t="shared" ref="J9:J17" si="2">H9*I9</f>
        <v>0</v>
      </c>
      <c r="K9" s="242">
        <v>1800</v>
      </c>
      <c r="L9" s="242">
        <v>1</v>
      </c>
      <c r="M9" s="250">
        <f t="shared" si="0"/>
        <v>0</v>
      </c>
    </row>
    <row r="10" spans="1:13">
      <c r="A10" s="247">
        <v>3</v>
      </c>
      <c r="B10" s="242" t="s">
        <v>414</v>
      </c>
      <c r="C10" s="242"/>
      <c r="D10" s="242"/>
      <c r="E10" s="242">
        <v>6</v>
      </c>
      <c r="F10" s="250">
        <f t="shared" si="1"/>
        <v>0</v>
      </c>
      <c r="G10" s="242">
        <v>2</v>
      </c>
      <c r="H10" s="250">
        <f>F10/G10</f>
        <v>0</v>
      </c>
      <c r="I10" s="242">
        <v>8</v>
      </c>
      <c r="J10" s="250">
        <f t="shared" si="2"/>
        <v>0</v>
      </c>
      <c r="K10" s="242">
        <v>1800</v>
      </c>
      <c r="L10" s="242">
        <v>1</v>
      </c>
      <c r="M10" s="250">
        <f t="shared" si="0"/>
        <v>0</v>
      </c>
    </row>
    <row r="11" spans="1:13">
      <c r="A11" s="247">
        <v>4</v>
      </c>
      <c r="B11" s="242" t="s">
        <v>415</v>
      </c>
      <c r="C11" s="242"/>
      <c r="D11" s="242"/>
      <c r="E11" s="242">
        <v>6</v>
      </c>
      <c r="F11" s="250">
        <f t="shared" si="1"/>
        <v>0</v>
      </c>
      <c r="G11" s="242">
        <v>2</v>
      </c>
      <c r="H11" s="250">
        <f>F11/G11</f>
        <v>0</v>
      </c>
      <c r="I11" s="242">
        <v>4</v>
      </c>
      <c r="J11" s="250">
        <f t="shared" si="2"/>
        <v>0</v>
      </c>
      <c r="K11" s="242">
        <v>1200</v>
      </c>
      <c r="L11" s="242">
        <v>1</v>
      </c>
      <c r="M11" s="250">
        <f t="shared" si="0"/>
        <v>0</v>
      </c>
    </row>
    <row r="12" spans="1:13">
      <c r="A12" s="247">
        <v>5</v>
      </c>
      <c r="B12" s="242" t="s">
        <v>416</v>
      </c>
      <c r="C12" s="242"/>
      <c r="D12" s="242"/>
      <c r="E12" s="242">
        <v>6</v>
      </c>
      <c r="F12" s="250">
        <f t="shared" si="1"/>
        <v>0</v>
      </c>
      <c r="G12" s="242">
        <v>2</v>
      </c>
      <c r="H12" s="250">
        <f>F12/G12</f>
        <v>0</v>
      </c>
      <c r="I12" s="242">
        <v>10</v>
      </c>
      <c r="J12" s="250">
        <f t="shared" si="2"/>
        <v>0</v>
      </c>
      <c r="K12" s="242">
        <v>3000</v>
      </c>
      <c r="L12" s="242">
        <v>1</v>
      </c>
      <c r="M12" s="250">
        <f t="shared" si="0"/>
        <v>0</v>
      </c>
    </row>
    <row r="13" spans="1:13">
      <c r="A13" s="247">
        <v>6</v>
      </c>
      <c r="B13" s="10"/>
      <c r="C13" s="10"/>
      <c r="D13" s="10"/>
      <c r="E13" s="10"/>
      <c r="F13" s="250">
        <f t="shared" si="1"/>
        <v>0</v>
      </c>
      <c r="G13" s="10">
        <v>0</v>
      </c>
      <c r="H13" s="242"/>
      <c r="I13" s="10"/>
      <c r="J13" s="250">
        <f t="shared" si="2"/>
        <v>0</v>
      </c>
      <c r="K13" s="10"/>
      <c r="L13" s="250"/>
      <c r="M13" s="250">
        <f t="shared" si="0"/>
        <v>0</v>
      </c>
    </row>
    <row r="14" spans="1:13">
      <c r="A14" s="247">
        <v>7</v>
      </c>
      <c r="B14" s="10"/>
      <c r="C14" s="10"/>
      <c r="D14" s="10"/>
      <c r="E14" s="10"/>
      <c r="F14" s="250">
        <f t="shared" si="1"/>
        <v>0</v>
      </c>
      <c r="G14" s="10">
        <v>0</v>
      </c>
      <c r="H14" s="242"/>
      <c r="I14" s="10"/>
      <c r="J14" s="250">
        <f t="shared" si="2"/>
        <v>0</v>
      </c>
      <c r="K14" s="10"/>
      <c r="L14" s="250"/>
      <c r="M14" s="250">
        <f t="shared" si="0"/>
        <v>0</v>
      </c>
    </row>
    <row r="15" spans="1:13">
      <c r="A15" s="247">
        <v>8</v>
      </c>
      <c r="B15" s="10"/>
      <c r="C15" s="10"/>
      <c r="D15" s="10"/>
      <c r="E15" s="10"/>
      <c r="F15" s="250">
        <f t="shared" si="1"/>
        <v>0</v>
      </c>
      <c r="G15" s="10">
        <v>0</v>
      </c>
      <c r="H15" s="242"/>
      <c r="I15" s="10"/>
      <c r="J15" s="250">
        <f t="shared" si="2"/>
        <v>0</v>
      </c>
      <c r="K15" s="10"/>
      <c r="L15" s="250"/>
      <c r="M15" s="250">
        <f t="shared" si="0"/>
        <v>0</v>
      </c>
    </row>
    <row r="16" spans="1:13">
      <c r="A16" s="247">
        <v>9</v>
      </c>
      <c r="B16" s="10"/>
      <c r="C16" s="10"/>
      <c r="D16" s="10"/>
      <c r="E16" s="10"/>
      <c r="F16" s="250">
        <f t="shared" si="1"/>
        <v>0</v>
      </c>
      <c r="G16" s="10">
        <v>0</v>
      </c>
      <c r="H16" s="242"/>
      <c r="I16" s="10"/>
      <c r="J16" s="250">
        <f t="shared" si="2"/>
        <v>0</v>
      </c>
      <c r="K16" s="10"/>
      <c r="L16" s="250"/>
      <c r="M16" s="250">
        <f t="shared" si="0"/>
        <v>0</v>
      </c>
    </row>
    <row r="17" spans="1:16">
      <c r="A17" s="247">
        <v>10</v>
      </c>
      <c r="B17" s="10"/>
      <c r="C17" s="10"/>
      <c r="D17" s="10"/>
      <c r="E17" s="10"/>
      <c r="F17" s="250">
        <f t="shared" si="1"/>
        <v>0</v>
      </c>
      <c r="G17" s="10">
        <v>0</v>
      </c>
      <c r="H17" s="242"/>
      <c r="I17" s="10"/>
      <c r="J17" s="250">
        <f t="shared" si="2"/>
        <v>0</v>
      </c>
      <c r="K17" s="10"/>
      <c r="L17" s="250"/>
      <c r="M17" s="250">
        <f t="shared" si="0"/>
        <v>0</v>
      </c>
    </row>
    <row r="18" spans="1:16">
      <c r="A18" s="15"/>
      <c r="B18" s="15"/>
      <c r="C18" s="251"/>
      <c r="D18" s="251"/>
      <c r="E18" s="251"/>
      <c r="F18" s="251"/>
      <c r="G18" s="251"/>
      <c r="H18" s="251"/>
      <c r="I18" s="251"/>
      <c r="J18" s="251"/>
      <c r="K18" s="251"/>
      <c r="L18" s="251"/>
      <c r="M18" s="249"/>
    </row>
    <row r="19" spans="1:16">
      <c r="A19" s="15"/>
      <c r="B19" s="15"/>
      <c r="C19" s="251"/>
      <c r="D19" s="251"/>
      <c r="E19" s="251"/>
      <c r="F19" s="251"/>
      <c r="G19" s="251"/>
      <c r="H19" s="251"/>
      <c r="I19" s="251"/>
      <c r="J19" s="251"/>
      <c r="K19" s="251"/>
      <c r="L19" s="251"/>
      <c r="M19" s="249"/>
    </row>
    <row r="21" spans="1:16" ht="18.75">
      <c r="A21" s="676" t="s">
        <v>530</v>
      </c>
      <c r="B21" s="676"/>
      <c r="C21" s="676"/>
      <c r="D21" s="676"/>
      <c r="E21" s="676"/>
      <c r="F21" s="676"/>
      <c r="G21" s="676"/>
      <c r="H21" s="676"/>
      <c r="I21" s="676"/>
      <c r="J21" s="676"/>
      <c r="K21" s="676"/>
    </row>
    <row r="23" spans="1:16">
      <c r="A23" s="79"/>
      <c r="B23" s="79"/>
      <c r="C23" s="79"/>
      <c r="D23" s="79"/>
      <c r="E23" s="143">
        <v>1</v>
      </c>
      <c r="F23" s="146">
        <f>(E23*5%)+E23</f>
        <v>1.05</v>
      </c>
      <c r="G23" s="146">
        <f t="shared" ref="G23:K23" si="3">(F23*5%)+F23</f>
        <v>1.1025</v>
      </c>
      <c r="H23" s="146">
        <f t="shared" si="3"/>
        <v>1.1576250000000001</v>
      </c>
      <c r="I23" s="146">
        <f t="shared" si="3"/>
        <v>1.2155062500000002</v>
      </c>
      <c r="J23" s="146">
        <f t="shared" si="3"/>
        <v>1.2762815625000004</v>
      </c>
      <c r="K23" s="146">
        <f t="shared" si="3"/>
        <v>1.3400956406250004</v>
      </c>
    </row>
    <row r="24" spans="1:16">
      <c r="A24" s="122" t="s">
        <v>0</v>
      </c>
      <c r="B24" s="122" t="s">
        <v>128</v>
      </c>
      <c r="C24" s="122" t="s">
        <v>141</v>
      </c>
      <c r="D24" s="122" t="s">
        <v>148</v>
      </c>
      <c r="E24" s="102" t="s">
        <v>2</v>
      </c>
      <c r="F24" s="102" t="s">
        <v>3</v>
      </c>
      <c r="G24" s="102" t="s">
        <v>4</v>
      </c>
      <c r="H24" s="102" t="s">
        <v>5</v>
      </c>
      <c r="I24" s="102" t="s">
        <v>6</v>
      </c>
      <c r="J24" s="102" t="s">
        <v>163</v>
      </c>
      <c r="K24" s="102" t="s">
        <v>162</v>
      </c>
    </row>
    <row r="25" spans="1:16">
      <c r="A25" s="82"/>
      <c r="B25" s="82"/>
      <c r="C25" s="82"/>
      <c r="D25" s="82"/>
      <c r="E25" s="80"/>
      <c r="F25" s="80"/>
      <c r="G25" s="80"/>
      <c r="H25" s="80"/>
      <c r="I25" s="80"/>
      <c r="J25" s="80"/>
      <c r="K25" s="80"/>
    </row>
    <row r="26" spans="1:16">
      <c r="A26" s="82" t="s">
        <v>124</v>
      </c>
      <c r="B26" s="82"/>
      <c r="C26" s="82"/>
      <c r="D26" s="82"/>
      <c r="E26" s="80"/>
      <c r="F26" s="80"/>
      <c r="G26" s="80"/>
      <c r="H26" s="80"/>
      <c r="I26" s="80"/>
      <c r="J26" s="80"/>
      <c r="K26" s="80"/>
      <c r="P26" s="79"/>
    </row>
    <row r="27" spans="1:16">
      <c r="A27" s="158" t="s">
        <v>429</v>
      </c>
      <c r="B27" s="92"/>
      <c r="C27" s="252"/>
      <c r="D27" s="252"/>
      <c r="E27" s="81"/>
      <c r="F27" s="81"/>
      <c r="G27" s="81"/>
      <c r="H27" s="81"/>
      <c r="I27" s="81"/>
      <c r="J27" s="81"/>
      <c r="K27" s="81"/>
      <c r="P27" s="79"/>
    </row>
    <row r="28" spans="1:16">
      <c r="A28" s="92" t="str">
        <f>B8</f>
        <v>Double Plough</v>
      </c>
      <c r="B28" s="92"/>
      <c r="C28" s="252">
        <f>H8</f>
        <v>0</v>
      </c>
      <c r="D28" s="252">
        <f>K8</f>
        <v>3000</v>
      </c>
      <c r="E28" s="81">
        <f>$C$28*$D$28*E23</f>
        <v>0</v>
      </c>
      <c r="F28" s="81">
        <f t="shared" ref="F28:K28" si="4">$C$28*$D$28*F23</f>
        <v>0</v>
      </c>
      <c r="G28" s="81">
        <f t="shared" si="4"/>
        <v>0</v>
      </c>
      <c r="H28" s="81">
        <f t="shared" si="4"/>
        <v>0</v>
      </c>
      <c r="I28" s="81">
        <f t="shared" si="4"/>
        <v>0</v>
      </c>
      <c r="J28" s="81">
        <f t="shared" si="4"/>
        <v>0</v>
      </c>
      <c r="K28" s="81">
        <f t="shared" si="4"/>
        <v>0</v>
      </c>
      <c r="P28" s="79"/>
    </row>
    <row r="29" spans="1:16">
      <c r="A29" s="92" t="str">
        <f>B9</f>
        <v>Cultivator</v>
      </c>
      <c r="B29" s="92"/>
      <c r="C29" s="252">
        <f t="shared" ref="C29:C38" si="5">H9</f>
        <v>0</v>
      </c>
      <c r="D29" s="252">
        <f>K9</f>
        <v>1800</v>
      </c>
      <c r="E29" s="81">
        <f>$C$29*$D$29*E23</f>
        <v>0</v>
      </c>
      <c r="F29" s="81">
        <f t="shared" ref="F29:K29" si="6">$C$29*$D$29*F23</f>
        <v>0</v>
      </c>
      <c r="G29" s="81">
        <f t="shared" si="6"/>
        <v>0</v>
      </c>
      <c r="H29" s="81">
        <f t="shared" si="6"/>
        <v>0</v>
      </c>
      <c r="I29" s="81">
        <f t="shared" si="6"/>
        <v>0</v>
      </c>
      <c r="J29" s="81">
        <f t="shared" si="6"/>
        <v>0</v>
      </c>
      <c r="K29" s="81">
        <f t="shared" si="6"/>
        <v>0</v>
      </c>
      <c r="P29" s="79"/>
    </row>
    <row r="30" spans="1:16">
      <c r="A30" s="92" t="str">
        <f>B10</f>
        <v>Rotavator</v>
      </c>
      <c r="B30" s="92"/>
      <c r="C30" s="252">
        <f t="shared" si="5"/>
        <v>0</v>
      </c>
      <c r="D30" s="252">
        <f>K10</f>
        <v>1800</v>
      </c>
      <c r="E30" s="81">
        <f>$C$30*$D$30*E23</f>
        <v>0</v>
      </c>
      <c r="F30" s="81">
        <f t="shared" ref="F30:K30" si="7">$C$30*$D$30*F23</f>
        <v>0</v>
      </c>
      <c r="G30" s="81">
        <f t="shared" si="7"/>
        <v>0</v>
      </c>
      <c r="H30" s="81">
        <f t="shared" si="7"/>
        <v>0</v>
      </c>
      <c r="I30" s="81">
        <f t="shared" si="7"/>
        <v>0</v>
      </c>
      <c r="J30" s="81">
        <f t="shared" si="7"/>
        <v>0</v>
      </c>
      <c r="K30" s="81">
        <f t="shared" si="7"/>
        <v>0</v>
      </c>
      <c r="P30" s="79"/>
    </row>
    <row r="31" spans="1:16">
      <c r="A31" s="92" t="str">
        <f>B11</f>
        <v>BBF Seed Sowing Machine</v>
      </c>
      <c r="B31" s="92"/>
      <c r="C31" s="252">
        <f t="shared" si="5"/>
        <v>0</v>
      </c>
      <c r="D31" s="252">
        <f>K11</f>
        <v>1200</v>
      </c>
      <c r="E31" s="81">
        <f>$C$31*$D$31*E23</f>
        <v>0</v>
      </c>
      <c r="F31" s="81">
        <f t="shared" ref="F31:K31" si="8">$C$31*$D$31*F23</f>
        <v>0</v>
      </c>
      <c r="G31" s="81">
        <f t="shared" si="8"/>
        <v>0</v>
      </c>
      <c r="H31" s="81">
        <f t="shared" si="8"/>
        <v>0</v>
      </c>
      <c r="I31" s="81">
        <f t="shared" si="8"/>
        <v>0</v>
      </c>
      <c r="J31" s="81">
        <f t="shared" si="8"/>
        <v>0</v>
      </c>
      <c r="K31" s="81">
        <f t="shared" si="8"/>
        <v>0</v>
      </c>
      <c r="P31" s="79"/>
    </row>
    <row r="32" spans="1:16">
      <c r="A32" s="92" t="str">
        <f>B12</f>
        <v>Mobile Threshing</v>
      </c>
      <c r="B32" s="92"/>
      <c r="C32" s="252">
        <f t="shared" si="5"/>
        <v>0</v>
      </c>
      <c r="D32" s="252">
        <f>K12</f>
        <v>3000</v>
      </c>
      <c r="E32" s="81">
        <f>$C$32*$D$32*E23</f>
        <v>0</v>
      </c>
      <c r="F32" s="81">
        <f t="shared" ref="F32:K32" si="9">$C$32*$D$32*F23</f>
        <v>0</v>
      </c>
      <c r="G32" s="81">
        <f t="shared" si="9"/>
        <v>0</v>
      </c>
      <c r="H32" s="81">
        <f t="shared" si="9"/>
        <v>0</v>
      </c>
      <c r="I32" s="81">
        <f t="shared" si="9"/>
        <v>0</v>
      </c>
      <c r="J32" s="81">
        <f t="shared" si="9"/>
        <v>0</v>
      </c>
      <c r="K32" s="81">
        <f t="shared" si="9"/>
        <v>0</v>
      </c>
      <c r="P32" s="79"/>
    </row>
    <row r="33" spans="1:16">
      <c r="A33" s="92"/>
      <c r="B33" s="92"/>
      <c r="C33" s="252">
        <f t="shared" si="5"/>
        <v>0</v>
      </c>
      <c r="D33" s="252">
        <f t="shared" ref="D33:D38" si="10">K13</f>
        <v>0</v>
      </c>
      <c r="E33" s="81">
        <f>$C$33*$D$33*E23</f>
        <v>0</v>
      </c>
      <c r="F33" s="81">
        <f t="shared" ref="F33:K33" si="11">$C$33*$D$33*F23</f>
        <v>0</v>
      </c>
      <c r="G33" s="81">
        <f t="shared" si="11"/>
        <v>0</v>
      </c>
      <c r="H33" s="81">
        <f t="shared" si="11"/>
        <v>0</v>
      </c>
      <c r="I33" s="81">
        <f t="shared" si="11"/>
        <v>0</v>
      </c>
      <c r="J33" s="81">
        <f t="shared" si="11"/>
        <v>0</v>
      </c>
      <c r="K33" s="81">
        <f t="shared" si="11"/>
        <v>0</v>
      </c>
      <c r="P33" s="79"/>
    </row>
    <row r="34" spans="1:16">
      <c r="A34" s="92"/>
      <c r="B34" s="92"/>
      <c r="C34" s="252">
        <f t="shared" si="5"/>
        <v>0</v>
      </c>
      <c r="D34" s="252">
        <f t="shared" si="10"/>
        <v>0</v>
      </c>
      <c r="E34" s="81">
        <f>$C$34*$D$34*E23</f>
        <v>0</v>
      </c>
      <c r="F34" s="81">
        <f t="shared" ref="F34:K34" si="12">$C$34*$D$34*F23</f>
        <v>0</v>
      </c>
      <c r="G34" s="81">
        <f t="shared" si="12"/>
        <v>0</v>
      </c>
      <c r="H34" s="81">
        <f t="shared" si="12"/>
        <v>0</v>
      </c>
      <c r="I34" s="81">
        <f t="shared" si="12"/>
        <v>0</v>
      </c>
      <c r="J34" s="81">
        <f t="shared" si="12"/>
        <v>0</v>
      </c>
      <c r="K34" s="81">
        <f t="shared" si="12"/>
        <v>0</v>
      </c>
      <c r="P34" s="79"/>
    </row>
    <row r="35" spans="1:16">
      <c r="A35" s="92"/>
      <c r="B35" s="92"/>
      <c r="C35" s="252">
        <f t="shared" si="5"/>
        <v>0</v>
      </c>
      <c r="D35" s="252">
        <f t="shared" si="10"/>
        <v>0</v>
      </c>
      <c r="E35" s="81">
        <f>$C$35*$D$35*E23</f>
        <v>0</v>
      </c>
      <c r="F35" s="81">
        <f t="shared" ref="F35:K35" si="13">$C$35*$D$35*F23</f>
        <v>0</v>
      </c>
      <c r="G35" s="81">
        <f t="shared" si="13"/>
        <v>0</v>
      </c>
      <c r="H35" s="81">
        <f t="shared" si="13"/>
        <v>0</v>
      </c>
      <c r="I35" s="81">
        <f t="shared" si="13"/>
        <v>0</v>
      </c>
      <c r="J35" s="81">
        <f t="shared" si="13"/>
        <v>0</v>
      </c>
      <c r="K35" s="81">
        <f t="shared" si="13"/>
        <v>0</v>
      </c>
      <c r="P35" s="79"/>
    </row>
    <row r="36" spans="1:16">
      <c r="A36" s="92"/>
      <c r="B36" s="92"/>
      <c r="C36" s="252">
        <f t="shared" si="5"/>
        <v>0</v>
      </c>
      <c r="D36" s="252">
        <f t="shared" si="10"/>
        <v>0</v>
      </c>
      <c r="E36" s="81">
        <f>$C$36*$D$36*E23</f>
        <v>0</v>
      </c>
      <c r="F36" s="81">
        <f t="shared" ref="F36:K36" si="14">$C$36*$D$36*F23</f>
        <v>0</v>
      </c>
      <c r="G36" s="81">
        <f t="shared" si="14"/>
        <v>0</v>
      </c>
      <c r="H36" s="81">
        <f t="shared" si="14"/>
        <v>0</v>
      </c>
      <c r="I36" s="81">
        <f t="shared" si="14"/>
        <v>0</v>
      </c>
      <c r="J36" s="81">
        <f t="shared" si="14"/>
        <v>0</v>
      </c>
      <c r="K36" s="81">
        <f t="shared" si="14"/>
        <v>0</v>
      </c>
      <c r="P36" s="79"/>
    </row>
    <row r="37" spans="1:16">
      <c r="A37" s="92"/>
      <c r="B37" s="92"/>
      <c r="C37" s="252">
        <f t="shared" si="5"/>
        <v>0</v>
      </c>
      <c r="D37" s="252">
        <f t="shared" si="10"/>
        <v>0</v>
      </c>
      <c r="E37" s="81">
        <f>$C$37*$D$37*E23</f>
        <v>0</v>
      </c>
      <c r="F37" s="81">
        <f t="shared" ref="F37:K37" si="15">$C$37*$D$37*F23</f>
        <v>0</v>
      </c>
      <c r="G37" s="81">
        <f t="shared" si="15"/>
        <v>0</v>
      </c>
      <c r="H37" s="81">
        <f t="shared" si="15"/>
        <v>0</v>
      </c>
      <c r="I37" s="81">
        <f t="shared" si="15"/>
        <v>0</v>
      </c>
      <c r="J37" s="81">
        <f t="shared" si="15"/>
        <v>0</v>
      </c>
      <c r="K37" s="81">
        <f t="shared" si="15"/>
        <v>0</v>
      </c>
      <c r="P37" s="79"/>
    </row>
    <row r="38" spans="1:16">
      <c r="A38" s="82"/>
      <c r="B38" s="82"/>
      <c r="C38" s="252">
        <f t="shared" si="5"/>
        <v>0</v>
      </c>
      <c r="D38" s="252">
        <f t="shared" si="10"/>
        <v>0</v>
      </c>
      <c r="E38" s="81">
        <f>$C$38*$D$38*E23</f>
        <v>0</v>
      </c>
      <c r="F38" s="81">
        <f t="shared" ref="F38:K38" si="16">$C$38*$D$38*F23</f>
        <v>0</v>
      </c>
      <c r="G38" s="81">
        <f t="shared" si="16"/>
        <v>0</v>
      </c>
      <c r="H38" s="81">
        <f t="shared" si="16"/>
        <v>0</v>
      </c>
      <c r="I38" s="81">
        <f t="shared" si="16"/>
        <v>0</v>
      </c>
      <c r="J38" s="81">
        <f t="shared" si="16"/>
        <v>0</v>
      </c>
      <c r="K38" s="81">
        <f t="shared" si="16"/>
        <v>0</v>
      </c>
      <c r="P38" s="79"/>
    </row>
    <row r="39" spans="1:16">
      <c r="A39" s="82" t="s">
        <v>138</v>
      </c>
      <c r="B39" s="82"/>
      <c r="C39" s="86"/>
      <c r="D39" s="86"/>
      <c r="E39" s="81">
        <f>SUM(E28:E38)</f>
        <v>0</v>
      </c>
      <c r="F39" s="81">
        <f t="shared" ref="F39:K39" si="17">SUM(F28:F38)</f>
        <v>0</v>
      </c>
      <c r="G39" s="81">
        <f t="shared" si="17"/>
        <v>0</v>
      </c>
      <c r="H39" s="81">
        <f t="shared" si="17"/>
        <v>0</v>
      </c>
      <c r="I39" s="81">
        <f t="shared" si="17"/>
        <v>0</v>
      </c>
      <c r="J39" s="81">
        <f t="shared" si="17"/>
        <v>0</v>
      </c>
      <c r="K39" s="81">
        <f t="shared" si="17"/>
        <v>0</v>
      </c>
      <c r="P39" s="79"/>
    </row>
    <row r="40" spans="1:16">
      <c r="A40" s="80"/>
      <c r="B40" s="80"/>
      <c r="C40" s="84"/>
      <c r="D40" s="84"/>
      <c r="E40" s="81"/>
      <c r="F40" s="81"/>
      <c r="G40" s="81"/>
      <c r="H40" s="81"/>
      <c r="I40" s="81"/>
      <c r="J40" s="81"/>
      <c r="K40" s="81"/>
      <c r="P40" s="79"/>
    </row>
    <row r="41" spans="1:16">
      <c r="A41" s="82" t="s">
        <v>137</v>
      </c>
      <c r="B41" s="82"/>
      <c r="C41" s="86"/>
      <c r="D41" s="86"/>
      <c r="E41" s="81"/>
      <c r="F41" s="81"/>
      <c r="G41" s="81"/>
      <c r="H41" s="81"/>
      <c r="I41" s="81"/>
      <c r="J41" s="81"/>
      <c r="K41" s="81"/>
      <c r="P41" s="79"/>
    </row>
    <row r="42" spans="1:16">
      <c r="A42" s="82" t="s">
        <v>296</v>
      </c>
      <c r="B42" s="82"/>
      <c r="C42" s="86"/>
      <c r="D42" s="86"/>
      <c r="E42" s="81"/>
      <c r="F42" s="81"/>
      <c r="G42" s="81"/>
      <c r="H42" s="81"/>
      <c r="I42" s="81"/>
      <c r="J42" s="81"/>
      <c r="K42" s="81"/>
    </row>
    <row r="43" spans="1:16">
      <c r="A43" s="80" t="s">
        <v>297</v>
      </c>
      <c r="B43" s="80" t="s">
        <v>426</v>
      </c>
      <c r="C43" s="84">
        <f>SUM(J8:J17)</f>
        <v>0</v>
      </c>
      <c r="D43" s="192">
        <v>100</v>
      </c>
      <c r="E43" s="81">
        <f>$C$43*$D$43*E23</f>
        <v>0</v>
      </c>
      <c r="F43" s="81">
        <f t="shared" ref="F43:K43" si="18">$C$43*$D$43*F23</f>
        <v>0</v>
      </c>
      <c r="G43" s="81">
        <f t="shared" si="18"/>
        <v>0</v>
      </c>
      <c r="H43" s="81">
        <f t="shared" si="18"/>
        <v>0</v>
      </c>
      <c r="I43" s="81">
        <f t="shared" si="18"/>
        <v>0</v>
      </c>
      <c r="J43" s="81">
        <f t="shared" si="18"/>
        <v>0</v>
      </c>
      <c r="K43" s="81">
        <f t="shared" si="18"/>
        <v>0</v>
      </c>
    </row>
    <row r="44" spans="1:16">
      <c r="A44" s="80" t="s">
        <v>298</v>
      </c>
      <c r="B44" s="80" t="s">
        <v>428</v>
      </c>
      <c r="C44" s="84">
        <f>SUM(M8:M17)</f>
        <v>0</v>
      </c>
      <c r="D44" s="192">
        <v>300</v>
      </c>
      <c r="E44" s="81">
        <f>$C$44*$D$44*E23</f>
        <v>0</v>
      </c>
      <c r="F44" s="81">
        <f t="shared" ref="F44:K44" si="19">$C$44*$D$44*F23</f>
        <v>0</v>
      </c>
      <c r="G44" s="81">
        <f t="shared" si="19"/>
        <v>0</v>
      </c>
      <c r="H44" s="81">
        <f t="shared" si="19"/>
        <v>0</v>
      </c>
      <c r="I44" s="81">
        <f t="shared" si="19"/>
        <v>0</v>
      </c>
      <c r="J44" s="81">
        <f t="shared" si="19"/>
        <v>0</v>
      </c>
      <c r="K44" s="81">
        <f t="shared" si="19"/>
        <v>0</v>
      </c>
    </row>
    <row r="45" spans="1:16">
      <c r="A45" s="80"/>
      <c r="B45" s="80"/>
      <c r="C45" s="192"/>
      <c r="D45" s="192"/>
      <c r="E45" s="81"/>
      <c r="F45" s="81"/>
      <c r="G45" s="81"/>
      <c r="H45" s="81"/>
      <c r="I45" s="81"/>
      <c r="J45" s="81"/>
      <c r="K45" s="81"/>
    </row>
    <row r="46" spans="1:16">
      <c r="A46" s="80"/>
      <c r="B46" s="80"/>
      <c r="C46" s="192"/>
      <c r="D46" s="192"/>
      <c r="E46" s="81"/>
      <c r="F46" s="81"/>
      <c r="G46" s="81"/>
      <c r="H46" s="81"/>
      <c r="I46" s="81"/>
      <c r="J46" s="81"/>
      <c r="K46" s="81"/>
    </row>
    <row r="47" spans="1:16">
      <c r="A47" s="80"/>
      <c r="B47" s="80"/>
      <c r="C47" s="192"/>
      <c r="D47" s="192"/>
      <c r="E47" s="81"/>
      <c r="F47" s="81"/>
      <c r="G47" s="81"/>
      <c r="H47" s="81"/>
      <c r="I47" s="81"/>
      <c r="J47" s="81"/>
      <c r="K47" s="81"/>
    </row>
    <row r="48" spans="1:16">
      <c r="A48" s="80"/>
      <c r="B48" s="80"/>
      <c r="C48" s="192"/>
      <c r="D48" s="192"/>
      <c r="E48" s="81"/>
      <c r="F48" s="81"/>
      <c r="G48" s="81"/>
      <c r="H48" s="81"/>
      <c r="I48" s="81"/>
      <c r="J48" s="81"/>
      <c r="K48" s="81"/>
    </row>
    <row r="49" spans="1:12">
      <c r="A49" s="82" t="s">
        <v>308</v>
      </c>
      <c r="B49" s="82"/>
      <c r="C49" s="197"/>
      <c r="D49" s="197"/>
      <c r="E49" s="98">
        <f>SUM(E43:E48)</f>
        <v>0</v>
      </c>
      <c r="F49" s="98">
        <f t="shared" ref="F49:K49" si="20">SUM(F43:F48)</f>
        <v>0</v>
      </c>
      <c r="G49" s="98">
        <f t="shared" si="20"/>
        <v>0</v>
      </c>
      <c r="H49" s="98">
        <f t="shared" si="20"/>
        <v>0</v>
      </c>
      <c r="I49" s="98">
        <f t="shared" si="20"/>
        <v>0</v>
      </c>
      <c r="J49" s="98">
        <f t="shared" si="20"/>
        <v>0</v>
      </c>
      <c r="K49" s="98">
        <f t="shared" si="20"/>
        <v>0</v>
      </c>
    </row>
    <row r="50" spans="1:12">
      <c r="A50" s="82"/>
      <c r="B50" s="82"/>
      <c r="C50" s="197"/>
      <c r="D50" s="197"/>
      <c r="E50" s="98"/>
      <c r="F50" s="98"/>
      <c r="G50" s="98"/>
      <c r="H50" s="98"/>
      <c r="I50" s="98"/>
      <c r="J50" s="98"/>
      <c r="K50" s="98"/>
    </row>
    <row r="51" spans="1:12">
      <c r="A51" s="158" t="s">
        <v>299</v>
      </c>
      <c r="B51" s="158"/>
      <c r="C51" s="217"/>
      <c r="D51" s="217"/>
      <c r="E51" s="81"/>
      <c r="F51" s="81"/>
      <c r="G51" s="81"/>
      <c r="H51" s="81"/>
      <c r="I51" s="81"/>
      <c r="J51" s="81"/>
      <c r="K51" s="81"/>
    </row>
    <row r="52" spans="1:12">
      <c r="A52" s="92" t="s">
        <v>300</v>
      </c>
      <c r="B52" s="80" t="s">
        <v>378</v>
      </c>
      <c r="C52" s="217">
        <v>1</v>
      </c>
      <c r="D52" s="218"/>
      <c r="E52" s="81">
        <f t="shared" ref="E52:K52" si="21">$C$52*$D$52*12*E23</f>
        <v>0</v>
      </c>
      <c r="F52" s="81">
        <f t="shared" si="21"/>
        <v>0</v>
      </c>
      <c r="G52" s="81">
        <f t="shared" si="21"/>
        <v>0</v>
      </c>
      <c r="H52" s="81">
        <f t="shared" si="21"/>
        <v>0</v>
      </c>
      <c r="I52" s="81">
        <f t="shared" si="21"/>
        <v>0</v>
      </c>
      <c r="J52" s="81">
        <f t="shared" si="21"/>
        <v>0</v>
      </c>
      <c r="K52" s="81">
        <f t="shared" si="21"/>
        <v>0</v>
      </c>
    </row>
    <row r="53" spans="1:12">
      <c r="A53" s="92"/>
      <c r="B53" s="92"/>
      <c r="C53" s="217"/>
      <c r="D53" s="218"/>
      <c r="E53" s="81"/>
      <c r="F53" s="81"/>
      <c r="G53" s="81"/>
      <c r="H53" s="81"/>
      <c r="I53" s="81"/>
      <c r="J53" s="81"/>
      <c r="K53" s="81"/>
    </row>
    <row r="54" spans="1:12">
      <c r="A54" s="92"/>
      <c r="B54" s="92"/>
      <c r="C54" s="217"/>
      <c r="D54" s="218"/>
      <c r="E54" s="81"/>
      <c r="F54" s="81"/>
      <c r="G54" s="81"/>
      <c r="H54" s="81"/>
      <c r="I54" s="81"/>
      <c r="J54" s="81"/>
      <c r="K54" s="81"/>
    </row>
    <row r="55" spans="1:12">
      <c r="A55" s="92"/>
      <c r="B55" s="92"/>
      <c r="C55" s="217"/>
      <c r="D55" s="218"/>
      <c r="E55" s="81"/>
      <c r="F55" s="81"/>
      <c r="G55" s="81"/>
      <c r="H55" s="81"/>
      <c r="I55" s="81"/>
      <c r="J55" s="81"/>
      <c r="K55" s="81"/>
    </row>
    <row r="56" spans="1:12">
      <c r="A56" s="82" t="s">
        <v>312</v>
      </c>
      <c r="B56" s="82"/>
      <c r="C56" s="82"/>
      <c r="D56" s="82"/>
      <c r="E56" s="98">
        <f>SUM(E52:E55)</f>
        <v>0</v>
      </c>
      <c r="F56" s="98">
        <f t="shared" ref="F56:K56" si="22">SUM(F52:F55)</f>
        <v>0</v>
      </c>
      <c r="G56" s="98">
        <f t="shared" si="22"/>
        <v>0</v>
      </c>
      <c r="H56" s="98">
        <f t="shared" si="22"/>
        <v>0</v>
      </c>
      <c r="I56" s="98">
        <f t="shared" si="22"/>
        <v>0</v>
      </c>
      <c r="J56" s="98">
        <f t="shared" si="22"/>
        <v>0</v>
      </c>
      <c r="K56" s="98">
        <f t="shared" si="22"/>
        <v>0</v>
      </c>
    </row>
    <row r="57" spans="1:12">
      <c r="A57" s="82" t="s">
        <v>127</v>
      </c>
      <c r="B57" s="82"/>
      <c r="C57" s="82"/>
      <c r="D57" s="82"/>
      <c r="E57" s="98">
        <f>E49+E56</f>
        <v>0</v>
      </c>
      <c r="F57" s="98">
        <f t="shared" ref="F57:K57" si="23">F49+F56</f>
        <v>0</v>
      </c>
      <c r="G57" s="98">
        <f t="shared" si="23"/>
        <v>0</v>
      </c>
      <c r="H57" s="98">
        <f t="shared" si="23"/>
        <v>0</v>
      </c>
      <c r="I57" s="98">
        <f t="shared" si="23"/>
        <v>0</v>
      </c>
      <c r="J57" s="98">
        <f t="shared" si="23"/>
        <v>0</v>
      </c>
      <c r="K57" s="98">
        <f t="shared" si="23"/>
        <v>0</v>
      </c>
    </row>
    <row r="58" spans="1:12">
      <c r="A58" s="80"/>
      <c r="B58" s="80"/>
      <c r="C58" s="80"/>
      <c r="D58" s="80"/>
      <c r="E58" s="81"/>
      <c r="F58" s="81"/>
      <c r="G58" s="81"/>
      <c r="H58" s="81"/>
      <c r="I58" s="81"/>
      <c r="J58" s="81"/>
      <c r="K58" s="81"/>
    </row>
    <row r="59" spans="1:12">
      <c r="A59" s="82" t="s">
        <v>303</v>
      </c>
      <c r="B59" s="82"/>
      <c r="C59" s="82"/>
      <c r="D59" s="82"/>
      <c r="E59" s="98">
        <f t="shared" ref="E59:K59" si="24">E39-E57</f>
        <v>0</v>
      </c>
      <c r="F59" s="98">
        <f t="shared" si="24"/>
        <v>0</v>
      </c>
      <c r="G59" s="98">
        <f t="shared" si="24"/>
        <v>0</v>
      </c>
      <c r="H59" s="98">
        <f t="shared" si="24"/>
        <v>0</v>
      </c>
      <c r="I59" s="98">
        <f t="shared" si="24"/>
        <v>0</v>
      </c>
      <c r="J59" s="98">
        <f t="shared" si="24"/>
        <v>0</v>
      </c>
      <c r="K59" s="98">
        <f t="shared" si="24"/>
        <v>0</v>
      </c>
    </row>
    <row r="60" spans="1:12">
      <c r="A60" s="231"/>
      <c r="B60" s="231"/>
      <c r="C60" s="231"/>
      <c r="D60" s="231"/>
      <c r="E60" s="232"/>
      <c r="F60" s="232"/>
      <c r="G60" s="232"/>
      <c r="H60" s="232"/>
      <c r="I60" s="232"/>
      <c r="J60" s="232"/>
      <c r="K60" s="232"/>
    </row>
    <row r="61" spans="1:12">
      <c r="A61" s="79"/>
      <c r="B61" s="79"/>
      <c r="C61" s="231"/>
      <c r="D61" s="231"/>
      <c r="E61" s="232"/>
      <c r="F61" s="232"/>
      <c r="G61" s="232"/>
      <c r="H61" s="232"/>
      <c r="I61" s="232"/>
      <c r="J61" s="232"/>
      <c r="K61" s="232"/>
    </row>
    <row r="62" spans="1:12">
      <c r="A62" s="677" t="s">
        <v>401</v>
      </c>
      <c r="B62" s="677"/>
      <c r="C62" s="677"/>
      <c r="D62" s="677"/>
      <c r="E62" s="677"/>
      <c r="F62" s="677"/>
      <c r="G62" s="677"/>
      <c r="H62" s="677"/>
      <c r="I62" s="677"/>
      <c r="J62" s="677"/>
      <c r="K62" s="677"/>
      <c r="L62" s="677"/>
    </row>
    <row r="65" spans="1:2">
      <c r="A65" t="s">
        <v>479</v>
      </c>
    </row>
    <row r="66" spans="1:2">
      <c r="A66">
        <v>1</v>
      </c>
      <c r="B66" t="s">
        <v>489</v>
      </c>
    </row>
    <row r="67" spans="1:2">
      <c r="A67">
        <v>2</v>
      </c>
      <c r="B67" t="s">
        <v>490</v>
      </c>
    </row>
    <row r="68" spans="1:2">
      <c r="A68">
        <v>3</v>
      </c>
      <c r="B68" s="79" t="s">
        <v>536</v>
      </c>
    </row>
  </sheetData>
  <mergeCells count="4">
    <mergeCell ref="A21:K21"/>
    <mergeCell ref="A3:L3"/>
    <mergeCell ref="A62:L62"/>
    <mergeCell ref="A4:L4"/>
  </mergeCells>
  <pageMargins left="0.7" right="0.7" top="0.75" bottom="0.75" header="0.3" footer="0.3"/>
  <pageSetup paperSize="9" scale="48" orientation="portrait" r:id="rId1"/>
  <colBreaks count="1" manualBreakCount="1">
    <brk id="11" max="6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view="pageBreakPreview" zoomScale="70" zoomScaleSheetLayoutView="70" workbookViewId="0">
      <selection activeCell="E34" sqref="E34"/>
    </sheetView>
  </sheetViews>
  <sheetFormatPr defaultRowHeight="15"/>
  <cols>
    <col min="1" max="1" width="41.140625" bestFit="1" customWidth="1"/>
    <col min="2" max="2" width="4.42578125" bestFit="1"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676" t="s">
        <v>531</v>
      </c>
      <c r="B2" s="676"/>
      <c r="C2" s="676"/>
      <c r="D2" s="676"/>
      <c r="E2" s="676"/>
      <c r="F2" s="676"/>
      <c r="G2" s="676"/>
      <c r="H2" s="676"/>
      <c r="I2" s="676"/>
    </row>
    <row r="4" spans="1:9">
      <c r="A4" s="79"/>
      <c r="B4" s="79"/>
      <c r="C4" s="79"/>
      <c r="D4" s="79"/>
      <c r="E4" s="79"/>
      <c r="F4" s="79"/>
      <c r="G4" s="79"/>
      <c r="H4" s="79"/>
      <c r="I4" s="79"/>
    </row>
    <row r="5" spans="1:9">
      <c r="A5" s="79"/>
      <c r="B5" s="79"/>
      <c r="C5" s="79"/>
      <c r="D5" s="79"/>
      <c r="E5" s="79"/>
      <c r="F5" s="79"/>
      <c r="G5" s="79"/>
      <c r="H5" s="79"/>
      <c r="I5" s="79"/>
    </row>
    <row r="6" spans="1:9">
      <c r="A6" s="122" t="s">
        <v>125</v>
      </c>
      <c r="B6" s="122"/>
      <c r="C6" s="102" t="s">
        <v>2</v>
      </c>
      <c r="D6" s="102" t="s">
        <v>3</v>
      </c>
      <c r="E6" s="102" t="s">
        <v>4</v>
      </c>
      <c r="F6" s="102" t="s">
        <v>5</v>
      </c>
      <c r="G6" s="102" t="s">
        <v>6</v>
      </c>
      <c r="H6" s="102" t="s">
        <v>163</v>
      </c>
      <c r="I6" s="102" t="s">
        <v>162</v>
      </c>
    </row>
    <row r="7" spans="1:9">
      <c r="A7" s="86" t="s">
        <v>492</v>
      </c>
      <c r="B7" s="84"/>
      <c r="C7" s="84"/>
      <c r="D7" s="84"/>
      <c r="E7" s="84"/>
      <c r="F7" s="84"/>
      <c r="G7" s="84"/>
      <c r="H7" s="84"/>
      <c r="I7" s="84"/>
    </row>
    <row r="8" spans="1:9">
      <c r="A8" s="86" t="s">
        <v>172</v>
      </c>
      <c r="B8" s="167"/>
      <c r="C8" s="216"/>
      <c r="D8" s="216"/>
      <c r="E8" s="216"/>
      <c r="F8" s="216"/>
      <c r="G8" s="216"/>
      <c r="H8" s="216"/>
      <c r="I8" s="216"/>
    </row>
    <row r="9" spans="1:9">
      <c r="A9" s="84" t="e">
        <f>'10.Grain Production details'!#REF!</f>
        <v>#REF!</v>
      </c>
      <c r="B9" s="167"/>
      <c r="C9" s="216" t="e">
        <f>'10.Grain Production details'!#REF!</f>
        <v>#REF!</v>
      </c>
      <c r="D9" s="216" t="e">
        <f>'10.Grain Production details'!#REF!</f>
        <v>#REF!</v>
      </c>
      <c r="E9" s="216" t="e">
        <f>'10.Grain Production details'!#REF!</f>
        <v>#REF!</v>
      </c>
      <c r="F9" s="216" t="e">
        <f>'10.Grain Production details'!#REF!</f>
        <v>#REF!</v>
      </c>
      <c r="G9" s="216" t="e">
        <f>'10.Grain Production details'!#REF!</f>
        <v>#REF!</v>
      </c>
      <c r="H9" s="216" t="e">
        <f>'10.Grain Production details'!#REF!</f>
        <v>#REF!</v>
      </c>
      <c r="I9" s="216" t="e">
        <f>'10.Grain Production details'!#REF!</f>
        <v>#REF!</v>
      </c>
    </row>
    <row r="10" spans="1:9">
      <c r="A10" s="84" t="e">
        <f>'10.Grain Production details'!#REF!</f>
        <v>#REF!</v>
      </c>
      <c r="B10" s="167"/>
      <c r="C10" s="216" t="e">
        <f>'10.Grain Production details'!#REF!</f>
        <v>#REF!</v>
      </c>
      <c r="D10" s="216" t="e">
        <f>'10.Grain Production details'!#REF!</f>
        <v>#REF!</v>
      </c>
      <c r="E10" s="216" t="e">
        <f>'10.Grain Production details'!#REF!</f>
        <v>#REF!</v>
      </c>
      <c r="F10" s="216" t="e">
        <f>'10.Grain Production details'!#REF!</f>
        <v>#REF!</v>
      </c>
      <c r="G10" s="216" t="e">
        <f>'10.Grain Production details'!#REF!</f>
        <v>#REF!</v>
      </c>
      <c r="H10" s="216" t="e">
        <f>'10.Grain Production details'!#REF!</f>
        <v>#REF!</v>
      </c>
      <c r="I10" s="216" t="e">
        <f>'10.Grain Production details'!#REF!</f>
        <v>#REF!</v>
      </c>
    </row>
    <row r="11" spans="1:9">
      <c r="A11" s="84" t="e">
        <f>'10.Grain Production details'!#REF!</f>
        <v>#REF!</v>
      </c>
      <c r="B11" s="167"/>
      <c r="C11" s="216" t="e">
        <f>'10.Grain Production details'!#REF!</f>
        <v>#REF!</v>
      </c>
      <c r="D11" s="216" t="e">
        <f>'10.Grain Production details'!#REF!</f>
        <v>#REF!</v>
      </c>
      <c r="E11" s="216" t="e">
        <f>'10.Grain Production details'!#REF!</f>
        <v>#REF!</v>
      </c>
      <c r="F11" s="216" t="e">
        <f>'10.Grain Production details'!#REF!</f>
        <v>#REF!</v>
      </c>
      <c r="G11" s="216" t="e">
        <f>'10.Grain Production details'!#REF!</f>
        <v>#REF!</v>
      </c>
      <c r="H11" s="216" t="e">
        <f>'10.Grain Production details'!#REF!</f>
        <v>#REF!</v>
      </c>
      <c r="I11" s="216" t="e">
        <f>'10.Grain Production details'!#REF!</f>
        <v>#REF!</v>
      </c>
    </row>
    <row r="12" spans="1:9">
      <c r="A12" s="84" t="e">
        <f>'10.Grain Production details'!#REF!</f>
        <v>#REF!</v>
      </c>
      <c r="B12" s="167"/>
      <c r="C12" s="216" t="e">
        <f>'10.Grain Production details'!#REF!</f>
        <v>#REF!</v>
      </c>
      <c r="D12" s="216" t="e">
        <f>'10.Grain Production details'!#REF!</f>
        <v>#REF!</v>
      </c>
      <c r="E12" s="216" t="e">
        <f>'10.Grain Production details'!#REF!</f>
        <v>#REF!</v>
      </c>
      <c r="F12" s="216" t="e">
        <f>'10.Grain Production details'!#REF!</f>
        <v>#REF!</v>
      </c>
      <c r="G12" s="216" t="e">
        <f>'10.Grain Production details'!#REF!</f>
        <v>#REF!</v>
      </c>
      <c r="H12" s="216" t="e">
        <f>'10.Grain Production details'!#REF!</f>
        <v>#REF!</v>
      </c>
      <c r="I12" s="216" t="e">
        <f>'10.Grain Production details'!#REF!</f>
        <v>#REF!</v>
      </c>
    </row>
    <row r="13" spans="1:9">
      <c r="A13" s="84" t="e">
        <f>'10.Grain Production details'!#REF!</f>
        <v>#REF!</v>
      </c>
      <c r="B13" s="167"/>
      <c r="C13" s="216" t="e">
        <f>'10.Grain Production details'!#REF!</f>
        <v>#REF!</v>
      </c>
      <c r="D13" s="216" t="e">
        <f>'10.Grain Production details'!#REF!</f>
        <v>#REF!</v>
      </c>
      <c r="E13" s="216" t="e">
        <f>'10.Grain Production details'!#REF!</f>
        <v>#REF!</v>
      </c>
      <c r="F13" s="216" t="e">
        <f>'10.Grain Production details'!#REF!</f>
        <v>#REF!</v>
      </c>
      <c r="G13" s="216" t="e">
        <f>'10.Grain Production details'!#REF!</f>
        <v>#REF!</v>
      </c>
      <c r="H13" s="216" t="e">
        <f>'10.Grain Production details'!#REF!</f>
        <v>#REF!</v>
      </c>
      <c r="I13" s="216" t="e">
        <f>'10.Grain Production details'!#REF!</f>
        <v>#REF!</v>
      </c>
    </row>
    <row r="14" spans="1:9">
      <c r="A14" s="84" t="e">
        <f>'10.Grain Production details'!#REF!</f>
        <v>#REF!</v>
      </c>
      <c r="B14" s="167"/>
      <c r="C14" s="216" t="e">
        <f>'10.Grain Production details'!#REF!</f>
        <v>#REF!</v>
      </c>
      <c r="D14" s="216" t="e">
        <f>'10.Grain Production details'!#REF!</f>
        <v>#REF!</v>
      </c>
      <c r="E14" s="216" t="e">
        <f>'10.Grain Production details'!#REF!</f>
        <v>#REF!</v>
      </c>
      <c r="F14" s="216" t="e">
        <f>'10.Grain Production details'!#REF!</f>
        <v>#REF!</v>
      </c>
      <c r="G14" s="216" t="e">
        <f>'10.Grain Production details'!#REF!</f>
        <v>#REF!</v>
      </c>
      <c r="H14" s="216" t="e">
        <f>'10.Grain Production details'!#REF!</f>
        <v>#REF!</v>
      </c>
      <c r="I14" s="216" t="e">
        <f>'10.Grain Production details'!#REF!</f>
        <v>#REF!</v>
      </c>
    </row>
    <row r="15" spans="1:9">
      <c r="A15" s="84" t="e">
        <f>'10.Grain Production details'!#REF!</f>
        <v>#REF!</v>
      </c>
      <c r="B15" s="167"/>
      <c r="C15" s="216" t="e">
        <f>'10.Grain Production details'!#REF!</f>
        <v>#REF!</v>
      </c>
      <c r="D15" s="216" t="e">
        <f>'10.Grain Production details'!#REF!</f>
        <v>#REF!</v>
      </c>
      <c r="E15" s="216" t="e">
        <f>'10.Grain Production details'!#REF!</f>
        <v>#REF!</v>
      </c>
      <c r="F15" s="216" t="e">
        <f>'10.Grain Production details'!#REF!</f>
        <v>#REF!</v>
      </c>
      <c r="G15" s="216" t="e">
        <f>'10.Grain Production details'!#REF!</f>
        <v>#REF!</v>
      </c>
      <c r="H15" s="216" t="e">
        <f>'10.Grain Production details'!#REF!</f>
        <v>#REF!</v>
      </c>
      <c r="I15" s="216" t="e">
        <f>'10.Grain Production details'!#REF!</f>
        <v>#REF!</v>
      </c>
    </row>
    <row r="16" spans="1:9">
      <c r="A16" s="84" t="e">
        <f>'10.Grain Production details'!#REF!</f>
        <v>#REF!</v>
      </c>
      <c r="B16" s="167"/>
      <c r="C16" s="216" t="e">
        <f>'10.Grain Production details'!#REF!</f>
        <v>#REF!</v>
      </c>
      <c r="D16" s="216" t="e">
        <f>'10.Grain Production details'!#REF!</f>
        <v>#REF!</v>
      </c>
      <c r="E16" s="216" t="e">
        <f>'10.Grain Production details'!#REF!</f>
        <v>#REF!</v>
      </c>
      <c r="F16" s="216" t="e">
        <f>'10.Grain Production details'!#REF!</f>
        <v>#REF!</v>
      </c>
      <c r="G16" s="216" t="e">
        <f>'10.Grain Production details'!#REF!</f>
        <v>#REF!</v>
      </c>
      <c r="H16" s="216" t="e">
        <f>'10.Grain Production details'!#REF!</f>
        <v>#REF!</v>
      </c>
      <c r="I16" s="216" t="e">
        <f>'10.Grain Production details'!#REF!</f>
        <v>#REF!</v>
      </c>
    </row>
    <row r="17" spans="1:9">
      <c r="A17" s="86" t="s">
        <v>176</v>
      </c>
      <c r="B17" s="167"/>
      <c r="C17" s="216"/>
      <c r="D17" s="216"/>
      <c r="E17" s="216"/>
      <c r="F17" s="216"/>
      <c r="G17" s="216"/>
      <c r="H17" s="216"/>
      <c r="I17" s="216"/>
    </row>
    <row r="18" spans="1:9">
      <c r="A18" s="84" t="e">
        <f>'10.Grain Production details'!#REF!</f>
        <v>#REF!</v>
      </c>
      <c r="B18" s="167"/>
      <c r="C18" s="216" t="e">
        <f>'10.Grain Production details'!#REF!</f>
        <v>#REF!</v>
      </c>
      <c r="D18" s="216" t="e">
        <f>'10.Grain Production details'!#REF!</f>
        <v>#REF!</v>
      </c>
      <c r="E18" s="216" t="e">
        <f>'10.Grain Production details'!#REF!</f>
        <v>#REF!</v>
      </c>
      <c r="F18" s="216" t="e">
        <f>'10.Grain Production details'!#REF!</f>
        <v>#REF!</v>
      </c>
      <c r="G18" s="216" t="e">
        <f>'10.Grain Production details'!#REF!</f>
        <v>#REF!</v>
      </c>
      <c r="H18" s="216" t="e">
        <f>'10.Grain Production details'!#REF!</f>
        <v>#REF!</v>
      </c>
      <c r="I18" s="216" t="e">
        <f>'10.Grain Production details'!#REF!</f>
        <v>#REF!</v>
      </c>
    </row>
    <row r="19" spans="1:9">
      <c r="A19" s="84" t="e">
        <f>'10.Grain Production details'!#REF!</f>
        <v>#REF!</v>
      </c>
      <c r="B19" s="167"/>
      <c r="C19" s="216" t="e">
        <f>'10.Grain Production details'!#REF!</f>
        <v>#REF!</v>
      </c>
      <c r="D19" s="216" t="e">
        <f>'10.Grain Production details'!#REF!</f>
        <v>#REF!</v>
      </c>
      <c r="E19" s="216" t="e">
        <f>'10.Grain Production details'!#REF!</f>
        <v>#REF!</v>
      </c>
      <c r="F19" s="216" t="e">
        <f>'10.Grain Production details'!#REF!</f>
        <v>#REF!</v>
      </c>
      <c r="G19" s="216" t="e">
        <f>'10.Grain Production details'!#REF!</f>
        <v>#REF!</v>
      </c>
      <c r="H19" s="216" t="e">
        <f>'10.Grain Production details'!#REF!</f>
        <v>#REF!</v>
      </c>
      <c r="I19" s="216" t="e">
        <f>'10.Grain Production details'!#REF!</f>
        <v>#REF!</v>
      </c>
    </row>
    <row r="20" spans="1:9">
      <c r="A20" s="84" t="e">
        <f>'10.Grain Production details'!#REF!</f>
        <v>#REF!</v>
      </c>
      <c r="B20" s="167"/>
      <c r="C20" s="216" t="e">
        <f>'10.Grain Production details'!#REF!</f>
        <v>#REF!</v>
      </c>
      <c r="D20" s="216" t="e">
        <f>'10.Grain Production details'!#REF!</f>
        <v>#REF!</v>
      </c>
      <c r="E20" s="216" t="e">
        <f>'10.Grain Production details'!#REF!</f>
        <v>#REF!</v>
      </c>
      <c r="F20" s="216" t="e">
        <f>'10.Grain Production details'!#REF!</f>
        <v>#REF!</v>
      </c>
      <c r="G20" s="216" t="e">
        <f>'10.Grain Production details'!#REF!</f>
        <v>#REF!</v>
      </c>
      <c r="H20" s="216" t="e">
        <f>'10.Grain Production details'!#REF!</f>
        <v>#REF!</v>
      </c>
      <c r="I20" s="216" t="e">
        <f>'10.Grain Production details'!#REF!</f>
        <v>#REF!</v>
      </c>
    </row>
    <row r="21" spans="1:9">
      <c r="A21" s="84" t="e">
        <f>'10.Grain Production details'!#REF!</f>
        <v>#REF!</v>
      </c>
      <c r="B21" s="167"/>
      <c r="C21" s="216" t="e">
        <f>'10.Grain Production details'!#REF!</f>
        <v>#REF!</v>
      </c>
      <c r="D21" s="216" t="e">
        <f>'10.Grain Production details'!#REF!</f>
        <v>#REF!</v>
      </c>
      <c r="E21" s="216" t="e">
        <f>'10.Grain Production details'!#REF!</f>
        <v>#REF!</v>
      </c>
      <c r="F21" s="216" t="e">
        <f>'10.Grain Production details'!#REF!</f>
        <v>#REF!</v>
      </c>
      <c r="G21" s="216" t="e">
        <f>'10.Grain Production details'!#REF!</f>
        <v>#REF!</v>
      </c>
      <c r="H21" s="216" t="e">
        <f>'10.Grain Production details'!#REF!</f>
        <v>#REF!</v>
      </c>
      <c r="I21" s="216" t="e">
        <f>'10.Grain Production details'!#REF!</f>
        <v>#REF!</v>
      </c>
    </row>
    <row r="22" spans="1:9">
      <c r="A22" s="84" t="e">
        <f>'10.Grain Production details'!#REF!</f>
        <v>#REF!</v>
      </c>
      <c r="B22" s="167"/>
      <c r="C22" s="216" t="e">
        <f>'10.Grain Production details'!#REF!</f>
        <v>#REF!</v>
      </c>
      <c r="D22" s="216" t="e">
        <f>'10.Grain Production details'!#REF!</f>
        <v>#REF!</v>
      </c>
      <c r="E22" s="216" t="e">
        <f>'10.Grain Production details'!#REF!</f>
        <v>#REF!</v>
      </c>
      <c r="F22" s="216" t="e">
        <f>'10.Grain Production details'!#REF!</f>
        <v>#REF!</v>
      </c>
      <c r="G22" s="216" t="e">
        <f>'10.Grain Production details'!#REF!</f>
        <v>#REF!</v>
      </c>
      <c r="H22" s="216" t="e">
        <f>'10.Grain Production details'!#REF!</f>
        <v>#REF!</v>
      </c>
      <c r="I22" s="216" t="e">
        <f>'10.Grain Production details'!#REF!</f>
        <v>#REF!</v>
      </c>
    </row>
    <row r="23" spans="1:9">
      <c r="A23" s="84" t="e">
        <f>'10.Grain Production details'!#REF!</f>
        <v>#REF!</v>
      </c>
      <c r="B23" s="167"/>
      <c r="C23" s="216" t="e">
        <f>'10.Grain Production details'!#REF!</f>
        <v>#REF!</v>
      </c>
      <c r="D23" s="216" t="e">
        <f>'10.Grain Production details'!#REF!</f>
        <v>#REF!</v>
      </c>
      <c r="E23" s="216" t="e">
        <f>'10.Grain Production details'!#REF!</f>
        <v>#REF!</v>
      </c>
      <c r="F23" s="216" t="e">
        <f>'10.Grain Production details'!#REF!</f>
        <v>#REF!</v>
      </c>
      <c r="G23" s="216" t="e">
        <f>'10.Grain Production details'!#REF!</f>
        <v>#REF!</v>
      </c>
      <c r="H23" s="216" t="e">
        <f>'10.Grain Production details'!#REF!</f>
        <v>#REF!</v>
      </c>
      <c r="I23" s="216" t="e">
        <f>'10.Grain Production details'!#REF!</f>
        <v>#REF!</v>
      </c>
    </row>
    <row r="24" spans="1:9">
      <c r="A24" s="84" t="e">
        <f>'10.Grain Production details'!#REF!</f>
        <v>#REF!</v>
      </c>
      <c r="B24" s="167"/>
      <c r="C24" s="216" t="e">
        <f>'10.Grain Production details'!#REF!</f>
        <v>#REF!</v>
      </c>
      <c r="D24" s="216" t="e">
        <f>'10.Grain Production details'!#REF!</f>
        <v>#REF!</v>
      </c>
      <c r="E24" s="216" t="e">
        <f>'10.Grain Production details'!#REF!</f>
        <v>#REF!</v>
      </c>
      <c r="F24" s="216" t="e">
        <f>'10.Grain Production details'!#REF!</f>
        <v>#REF!</v>
      </c>
      <c r="G24" s="216" t="e">
        <f>'10.Grain Production details'!#REF!</f>
        <v>#REF!</v>
      </c>
      <c r="H24" s="216" t="e">
        <f>'10.Grain Production details'!#REF!</f>
        <v>#REF!</v>
      </c>
      <c r="I24" s="216" t="e">
        <f>'10.Grain Production details'!#REF!</f>
        <v>#REF!</v>
      </c>
    </row>
    <row r="25" spans="1:9">
      <c r="A25" s="84" t="e">
        <f>'10.Grain Production details'!#REF!</f>
        <v>#REF!</v>
      </c>
      <c r="B25" s="167"/>
      <c r="C25" s="216" t="e">
        <f>'10.Grain Production details'!#REF!</f>
        <v>#REF!</v>
      </c>
      <c r="D25" s="216" t="e">
        <f>'10.Grain Production details'!#REF!</f>
        <v>#REF!</v>
      </c>
      <c r="E25" s="216" t="e">
        <f>'10.Grain Production details'!#REF!</f>
        <v>#REF!</v>
      </c>
      <c r="F25" s="216" t="e">
        <f>'10.Grain Production details'!#REF!</f>
        <v>#REF!</v>
      </c>
      <c r="G25" s="216" t="e">
        <f>'10.Grain Production details'!#REF!</f>
        <v>#REF!</v>
      </c>
      <c r="H25" s="216" t="e">
        <f>'10.Grain Production details'!#REF!</f>
        <v>#REF!</v>
      </c>
      <c r="I25" s="216" t="e">
        <f>'10.Grain Production details'!#REF!</f>
        <v>#REF!</v>
      </c>
    </row>
    <row r="26" spans="1:9">
      <c r="A26" s="86" t="e">
        <f>'10.Grain Production details'!#REF!</f>
        <v>#REF!</v>
      </c>
      <c r="B26" s="167"/>
      <c r="C26" s="216"/>
      <c r="D26" s="216"/>
      <c r="E26" s="216"/>
      <c r="F26" s="216"/>
      <c r="G26" s="216"/>
      <c r="H26" s="216"/>
      <c r="I26" s="216"/>
    </row>
    <row r="27" spans="1:9">
      <c r="A27" s="84" t="e">
        <f>'10.Grain Production details'!#REF!</f>
        <v>#REF!</v>
      </c>
      <c r="B27" s="167"/>
      <c r="C27" s="216" t="e">
        <f>'10.Grain Production details'!#REF!</f>
        <v>#REF!</v>
      </c>
      <c r="D27" s="216" t="e">
        <f>'10.Grain Production details'!#REF!</f>
        <v>#REF!</v>
      </c>
      <c r="E27" s="216" t="e">
        <f>'10.Grain Production details'!#REF!</f>
        <v>#REF!</v>
      </c>
      <c r="F27" s="216" t="e">
        <f>'10.Grain Production details'!#REF!</f>
        <v>#REF!</v>
      </c>
      <c r="G27" s="216" t="e">
        <f>'10.Grain Production details'!#REF!</f>
        <v>#REF!</v>
      </c>
      <c r="H27" s="216" t="e">
        <f>'10.Grain Production details'!#REF!</f>
        <v>#REF!</v>
      </c>
      <c r="I27" s="216" t="e">
        <f>'10.Grain Production details'!#REF!</f>
        <v>#REF!</v>
      </c>
    </row>
    <row r="28" spans="1:9">
      <c r="A28" s="84" t="e">
        <f>'10.Grain Production details'!#REF!</f>
        <v>#REF!</v>
      </c>
      <c r="B28" s="167"/>
      <c r="C28" s="216" t="e">
        <f>'10.Grain Production details'!#REF!</f>
        <v>#REF!</v>
      </c>
      <c r="D28" s="216" t="e">
        <f>'10.Grain Production details'!#REF!</f>
        <v>#REF!</v>
      </c>
      <c r="E28" s="216" t="e">
        <f>'10.Grain Production details'!#REF!</f>
        <v>#REF!</v>
      </c>
      <c r="F28" s="216" t="e">
        <f>'10.Grain Production details'!#REF!</f>
        <v>#REF!</v>
      </c>
      <c r="G28" s="216" t="e">
        <f>'10.Grain Production details'!#REF!</f>
        <v>#REF!</v>
      </c>
      <c r="H28" s="216" t="e">
        <f>'10.Grain Production details'!#REF!</f>
        <v>#REF!</v>
      </c>
      <c r="I28" s="216" t="e">
        <f>'10.Grain Production details'!#REF!</f>
        <v>#REF!</v>
      </c>
    </row>
    <row r="29" spans="1:9">
      <c r="A29" s="84" t="e">
        <f>'10.Grain Production details'!#REF!</f>
        <v>#REF!</v>
      </c>
      <c r="B29" s="167"/>
      <c r="C29" s="216" t="e">
        <f>'10.Grain Production details'!#REF!</f>
        <v>#REF!</v>
      </c>
      <c r="D29" s="216" t="e">
        <f>'10.Grain Production details'!#REF!</f>
        <v>#REF!</v>
      </c>
      <c r="E29" s="216" t="e">
        <f>'10.Grain Production details'!#REF!</f>
        <v>#REF!</v>
      </c>
      <c r="F29" s="216" t="e">
        <f>'10.Grain Production details'!#REF!</f>
        <v>#REF!</v>
      </c>
      <c r="G29" s="216" t="e">
        <f>'10.Grain Production details'!#REF!</f>
        <v>#REF!</v>
      </c>
      <c r="H29" s="216" t="e">
        <f>'10.Grain Production details'!#REF!</f>
        <v>#REF!</v>
      </c>
      <c r="I29" s="216" t="e">
        <f>'10.Grain Production details'!#REF!</f>
        <v>#REF!</v>
      </c>
    </row>
    <row r="30" spans="1:9">
      <c r="A30" s="84" t="e">
        <f>'10.Grain Production details'!#REF!</f>
        <v>#REF!</v>
      </c>
      <c r="B30" s="167"/>
      <c r="C30" s="216" t="e">
        <f>'10.Grain Production details'!#REF!</f>
        <v>#REF!</v>
      </c>
      <c r="D30" s="216" t="e">
        <f>'10.Grain Production details'!#REF!</f>
        <v>#REF!</v>
      </c>
      <c r="E30" s="216" t="e">
        <f>'10.Grain Production details'!#REF!</f>
        <v>#REF!</v>
      </c>
      <c r="F30" s="216" t="e">
        <f>'10.Grain Production details'!#REF!</f>
        <v>#REF!</v>
      </c>
      <c r="G30" s="216" t="e">
        <f>'10.Grain Production details'!#REF!</f>
        <v>#REF!</v>
      </c>
      <c r="H30" s="216" t="e">
        <f>'10.Grain Production details'!#REF!</f>
        <v>#REF!</v>
      </c>
      <c r="I30" s="216" t="e">
        <f>'10.Grain Production details'!#REF!</f>
        <v>#REF!</v>
      </c>
    </row>
    <row r="31" spans="1:9">
      <c r="A31" s="84" t="e">
        <f>'10.Grain Production details'!#REF!</f>
        <v>#REF!</v>
      </c>
      <c r="B31" s="167"/>
      <c r="C31" s="216" t="e">
        <f>'10.Grain Production details'!#REF!</f>
        <v>#REF!</v>
      </c>
      <c r="D31" s="216" t="e">
        <f>'10.Grain Production details'!#REF!</f>
        <v>#REF!</v>
      </c>
      <c r="E31" s="216" t="e">
        <f>'10.Grain Production details'!#REF!</f>
        <v>#REF!</v>
      </c>
      <c r="F31" s="216" t="e">
        <f>'10.Grain Production details'!#REF!</f>
        <v>#REF!</v>
      </c>
      <c r="G31" s="216" t="e">
        <f>'10.Grain Production details'!#REF!</f>
        <v>#REF!</v>
      </c>
      <c r="H31" s="216" t="e">
        <f>'10.Grain Production details'!#REF!</f>
        <v>#REF!</v>
      </c>
      <c r="I31" s="216" t="e">
        <f>'10.Grain Production details'!#REF!</f>
        <v>#REF!</v>
      </c>
    </row>
    <row r="32" spans="1:9">
      <c r="A32" s="86" t="str">
        <f>'11.F&amp;V Crop Production details'!A1:H1</f>
        <v>Fruit  &amp; Vegetables Crop Production Details</v>
      </c>
      <c r="B32" s="167"/>
      <c r="C32" s="216"/>
      <c r="D32" s="216"/>
      <c r="E32" s="216"/>
      <c r="F32" s="216"/>
      <c r="G32" s="216"/>
      <c r="H32" s="216"/>
      <c r="I32" s="216"/>
    </row>
    <row r="33" spans="1:9">
      <c r="A33" s="84">
        <f>'11.F&amp;V Crop Production details'!A44</f>
        <v>0</v>
      </c>
      <c r="B33" s="167"/>
      <c r="C33" s="216">
        <f>'11.F&amp;V Crop Production details'!B44</f>
        <v>0</v>
      </c>
      <c r="D33" s="216">
        <f>'11.F&amp;V Crop Production details'!C44</f>
        <v>0</v>
      </c>
      <c r="E33" s="216">
        <f>'11.F&amp;V Crop Production details'!D44</f>
        <v>0</v>
      </c>
      <c r="F33" s="216">
        <f>'11.F&amp;V Crop Production details'!E44</f>
        <v>0</v>
      </c>
      <c r="G33" s="216">
        <f>'11.F&amp;V Crop Production details'!F44</f>
        <v>0</v>
      </c>
      <c r="H33" s="216">
        <f>'11.F&amp;V Crop Production details'!G44</f>
        <v>0</v>
      </c>
      <c r="I33" s="216">
        <f>'11.F&amp;V Crop Production details'!H44</f>
        <v>0</v>
      </c>
    </row>
    <row r="34" spans="1:9">
      <c r="A34" s="84" t="e">
        <f>'11.F&amp;V Crop Production details'!#REF!</f>
        <v>#REF!</v>
      </c>
      <c r="B34" s="167"/>
      <c r="C34" s="216" t="e">
        <f>'11.F&amp;V Crop Production details'!#REF!</f>
        <v>#REF!</v>
      </c>
      <c r="D34" s="216" t="e">
        <f>'11.F&amp;V Crop Production details'!#REF!</f>
        <v>#REF!</v>
      </c>
      <c r="E34" s="216" t="e">
        <f>'11.F&amp;V Crop Production details'!#REF!</f>
        <v>#REF!</v>
      </c>
      <c r="F34" s="216" t="e">
        <f>'11.F&amp;V Crop Production details'!#REF!</f>
        <v>#REF!</v>
      </c>
      <c r="G34" s="216" t="e">
        <f>'11.F&amp;V Crop Production details'!#REF!</f>
        <v>#REF!</v>
      </c>
      <c r="H34" s="216" t="e">
        <f>'11.F&amp;V Crop Production details'!#REF!</f>
        <v>#REF!</v>
      </c>
      <c r="I34" s="216" t="e">
        <f>'11.F&amp;V Crop Production details'!#REF!</f>
        <v>#REF!</v>
      </c>
    </row>
    <row r="35" spans="1:9">
      <c r="A35" s="84" t="e">
        <f>'11.F&amp;V Crop Production details'!#REF!</f>
        <v>#REF!</v>
      </c>
      <c r="B35" s="167"/>
      <c r="C35" s="216" t="e">
        <f>'11.F&amp;V Crop Production details'!#REF!</f>
        <v>#REF!</v>
      </c>
      <c r="D35" s="216" t="e">
        <f>'11.F&amp;V Crop Production details'!#REF!</f>
        <v>#REF!</v>
      </c>
      <c r="E35" s="216" t="e">
        <f>'11.F&amp;V Crop Production details'!#REF!</f>
        <v>#REF!</v>
      </c>
      <c r="F35" s="216" t="e">
        <f>'11.F&amp;V Crop Production details'!#REF!</f>
        <v>#REF!</v>
      </c>
      <c r="G35" s="216" t="e">
        <f>'11.F&amp;V Crop Production details'!#REF!</f>
        <v>#REF!</v>
      </c>
      <c r="H35" s="216" t="e">
        <f>'11.F&amp;V Crop Production details'!#REF!</f>
        <v>#REF!</v>
      </c>
      <c r="I35" s="216" t="e">
        <f>'11.F&amp;V Crop Production details'!#REF!</f>
        <v>#REF!</v>
      </c>
    </row>
    <row r="36" spans="1:9">
      <c r="A36" s="84" t="str">
        <f>'11.F&amp;V Crop Production details'!A45</f>
        <v>Chilli</v>
      </c>
      <c r="B36" s="167"/>
      <c r="C36" s="216">
        <f>'11.F&amp;V Crop Production details'!B45</f>
        <v>0</v>
      </c>
      <c r="D36" s="216">
        <f>'11.F&amp;V Crop Production details'!C45</f>
        <v>0</v>
      </c>
      <c r="E36" s="216">
        <f>'11.F&amp;V Crop Production details'!D45</f>
        <v>0</v>
      </c>
      <c r="F36" s="216">
        <f>'11.F&amp;V Crop Production details'!E45</f>
        <v>0</v>
      </c>
      <c r="G36" s="216">
        <f>'11.F&amp;V Crop Production details'!F45</f>
        <v>0</v>
      </c>
      <c r="H36" s="216">
        <f>'11.F&amp;V Crop Production details'!G45</f>
        <v>0</v>
      </c>
      <c r="I36" s="216">
        <f>'11.F&amp;V Crop Production details'!H45</f>
        <v>0</v>
      </c>
    </row>
    <row r="37" spans="1:9">
      <c r="A37" s="84" t="e">
        <f>'11.F&amp;V Crop Production details'!#REF!</f>
        <v>#REF!</v>
      </c>
      <c r="B37" s="167"/>
      <c r="C37" s="216" t="e">
        <f>'11.F&amp;V Crop Production details'!#REF!</f>
        <v>#REF!</v>
      </c>
      <c r="D37" s="216" t="e">
        <f>'11.F&amp;V Crop Production details'!#REF!</f>
        <v>#REF!</v>
      </c>
      <c r="E37" s="216" t="e">
        <f>'11.F&amp;V Crop Production details'!#REF!</f>
        <v>#REF!</v>
      </c>
      <c r="F37" s="216" t="e">
        <f>'11.F&amp;V Crop Production details'!#REF!</f>
        <v>#REF!</v>
      </c>
      <c r="G37" s="216" t="e">
        <f>'11.F&amp;V Crop Production details'!#REF!</f>
        <v>#REF!</v>
      </c>
      <c r="H37" s="216" t="e">
        <f>'11.F&amp;V Crop Production details'!#REF!</f>
        <v>#REF!</v>
      </c>
      <c r="I37" s="216" t="e">
        <f>'11.F&amp;V Crop Production details'!#REF!</f>
        <v>#REF!</v>
      </c>
    </row>
    <row r="38" spans="1:9">
      <c r="A38" s="84" t="e">
        <f>'11.F&amp;V Crop Production details'!#REF!</f>
        <v>#REF!</v>
      </c>
      <c r="B38" s="167"/>
      <c r="C38" s="216" t="e">
        <f>'11.F&amp;V Crop Production details'!#REF!</f>
        <v>#REF!</v>
      </c>
      <c r="D38" s="216" t="e">
        <f>'11.F&amp;V Crop Production details'!#REF!</f>
        <v>#REF!</v>
      </c>
      <c r="E38" s="216" t="e">
        <f>'11.F&amp;V Crop Production details'!#REF!</f>
        <v>#REF!</v>
      </c>
      <c r="F38" s="216" t="e">
        <f>'11.F&amp;V Crop Production details'!#REF!</f>
        <v>#REF!</v>
      </c>
      <c r="G38" s="216" t="e">
        <f>'11.F&amp;V Crop Production details'!#REF!</f>
        <v>#REF!</v>
      </c>
      <c r="H38" s="216" t="e">
        <f>'11.F&amp;V Crop Production details'!#REF!</f>
        <v>#REF!</v>
      </c>
      <c r="I38" s="216" t="e">
        <f>'11.F&amp;V Crop Production details'!#REF!</f>
        <v>#REF!</v>
      </c>
    </row>
    <row r="39" spans="1:9">
      <c r="A39" s="84" t="e">
        <f>'11.F&amp;V Crop Production details'!#REF!</f>
        <v>#REF!</v>
      </c>
      <c r="B39" s="167"/>
      <c r="C39" s="216" t="e">
        <f>'11.F&amp;V Crop Production details'!#REF!</f>
        <v>#REF!</v>
      </c>
      <c r="D39" s="216" t="e">
        <f>'11.F&amp;V Crop Production details'!#REF!</f>
        <v>#REF!</v>
      </c>
      <c r="E39" s="216" t="e">
        <f>'11.F&amp;V Crop Production details'!#REF!</f>
        <v>#REF!</v>
      </c>
      <c r="F39" s="216" t="e">
        <f>'11.F&amp;V Crop Production details'!#REF!</f>
        <v>#REF!</v>
      </c>
      <c r="G39" s="216" t="e">
        <f>'11.F&amp;V Crop Production details'!#REF!</f>
        <v>#REF!</v>
      </c>
      <c r="H39" s="216" t="e">
        <f>'11.F&amp;V Crop Production details'!#REF!</f>
        <v>#REF!</v>
      </c>
      <c r="I39" s="216" t="e">
        <f>'11.F&amp;V Crop Production details'!#REF!</f>
        <v>#REF!</v>
      </c>
    </row>
    <row r="40" spans="1:9">
      <c r="A40" s="84" t="e">
        <f>'11.F&amp;V Crop Production details'!#REF!</f>
        <v>#REF!</v>
      </c>
      <c r="B40" s="167"/>
      <c r="C40" s="216" t="e">
        <f>'11.F&amp;V Crop Production details'!#REF!</f>
        <v>#REF!</v>
      </c>
      <c r="D40" s="216" t="e">
        <f>'11.F&amp;V Crop Production details'!#REF!</f>
        <v>#REF!</v>
      </c>
      <c r="E40" s="216" t="e">
        <f>'11.F&amp;V Crop Production details'!#REF!</f>
        <v>#REF!</v>
      </c>
      <c r="F40" s="216" t="e">
        <f>'11.F&amp;V Crop Production details'!#REF!</f>
        <v>#REF!</v>
      </c>
      <c r="G40" s="216" t="e">
        <f>'11.F&amp;V Crop Production details'!#REF!</f>
        <v>#REF!</v>
      </c>
      <c r="H40" s="216" t="e">
        <f>'11.F&amp;V Crop Production details'!#REF!</f>
        <v>#REF!</v>
      </c>
      <c r="I40" s="216" t="e">
        <f>'11.F&amp;V Crop Production details'!#REF!</f>
        <v>#REF!</v>
      </c>
    </row>
    <row r="41" spans="1:9">
      <c r="A41" s="84" t="e">
        <f>'11.F&amp;V Crop Production details'!#REF!</f>
        <v>#REF!</v>
      </c>
      <c r="B41" s="167"/>
      <c r="C41" s="216" t="e">
        <f>'11.F&amp;V Crop Production details'!#REF!</f>
        <v>#REF!</v>
      </c>
      <c r="D41" s="216" t="e">
        <f>'11.F&amp;V Crop Production details'!#REF!</f>
        <v>#REF!</v>
      </c>
      <c r="E41" s="216" t="e">
        <f>'11.F&amp;V Crop Production details'!#REF!</f>
        <v>#REF!</v>
      </c>
      <c r="F41" s="216" t="e">
        <f>'11.F&amp;V Crop Production details'!#REF!</f>
        <v>#REF!</v>
      </c>
      <c r="G41" s="216" t="e">
        <f>'11.F&amp;V Crop Production details'!#REF!</f>
        <v>#REF!</v>
      </c>
      <c r="H41" s="216" t="e">
        <f>'11.F&amp;V Crop Production details'!#REF!</f>
        <v>#REF!</v>
      </c>
      <c r="I41" s="216" t="e">
        <f>'11.F&amp;V Crop Production details'!#REF!</f>
        <v>#REF!</v>
      </c>
    </row>
    <row r="42" spans="1:9">
      <c r="A42" s="84" t="e">
        <f>'11.F&amp;V Crop Production details'!#REF!</f>
        <v>#REF!</v>
      </c>
      <c r="B42" s="167"/>
      <c r="C42" s="216" t="e">
        <f>'11.F&amp;V Crop Production details'!#REF!</f>
        <v>#REF!</v>
      </c>
      <c r="D42" s="216" t="e">
        <f>'11.F&amp;V Crop Production details'!#REF!</f>
        <v>#REF!</v>
      </c>
      <c r="E42" s="216" t="e">
        <f>'11.F&amp;V Crop Production details'!#REF!</f>
        <v>#REF!</v>
      </c>
      <c r="F42" s="216" t="e">
        <f>'11.F&amp;V Crop Production details'!#REF!</f>
        <v>#REF!</v>
      </c>
      <c r="G42" s="216" t="e">
        <f>'11.F&amp;V Crop Production details'!#REF!</f>
        <v>#REF!</v>
      </c>
      <c r="H42" s="216" t="e">
        <f>'11.F&amp;V Crop Production details'!#REF!</f>
        <v>#REF!</v>
      </c>
      <c r="I42" s="216" t="e">
        <f>'11.F&amp;V Crop Production details'!#REF!</f>
        <v>#REF!</v>
      </c>
    </row>
    <row r="43" spans="1:9">
      <c r="A43" s="84" t="e">
        <f>'11.F&amp;V Crop Production details'!#REF!</f>
        <v>#REF!</v>
      </c>
      <c r="B43" s="167"/>
      <c r="C43" s="216" t="e">
        <f>'11.F&amp;V Crop Production details'!#REF!</f>
        <v>#REF!</v>
      </c>
      <c r="D43" s="216" t="e">
        <f>'11.F&amp;V Crop Production details'!#REF!</f>
        <v>#REF!</v>
      </c>
      <c r="E43" s="216" t="e">
        <f>'11.F&amp;V Crop Production details'!#REF!</f>
        <v>#REF!</v>
      </c>
      <c r="F43" s="216" t="e">
        <f>'11.F&amp;V Crop Production details'!#REF!</f>
        <v>#REF!</v>
      </c>
      <c r="G43" s="216" t="e">
        <f>'11.F&amp;V Crop Production details'!#REF!</f>
        <v>#REF!</v>
      </c>
      <c r="H43" s="216" t="e">
        <f>'11.F&amp;V Crop Production details'!#REF!</f>
        <v>#REF!</v>
      </c>
      <c r="I43" s="216" t="e">
        <f>'11.F&amp;V Crop Production details'!#REF!</f>
        <v>#REF!</v>
      </c>
    </row>
    <row r="44" spans="1:9">
      <c r="A44" s="84" t="e">
        <f>'11.F&amp;V Crop Production details'!#REF!</f>
        <v>#REF!</v>
      </c>
      <c r="B44" s="167"/>
      <c r="C44" s="216" t="e">
        <f>'11.F&amp;V Crop Production details'!#REF!</f>
        <v>#REF!</v>
      </c>
      <c r="D44" s="216" t="e">
        <f>'11.F&amp;V Crop Production details'!#REF!</f>
        <v>#REF!</v>
      </c>
      <c r="E44" s="216" t="e">
        <f>'11.F&amp;V Crop Production details'!#REF!</f>
        <v>#REF!</v>
      </c>
      <c r="F44" s="216" t="e">
        <f>'11.F&amp;V Crop Production details'!#REF!</f>
        <v>#REF!</v>
      </c>
      <c r="G44" s="216" t="e">
        <f>'11.F&amp;V Crop Production details'!#REF!</f>
        <v>#REF!</v>
      </c>
      <c r="H44" s="216" t="e">
        <f>'11.F&amp;V Crop Production details'!#REF!</f>
        <v>#REF!</v>
      </c>
      <c r="I44" s="216" t="e">
        <f>'11.F&amp;V Crop Production details'!#REF!</f>
        <v>#REF!</v>
      </c>
    </row>
    <row r="45" spans="1:9">
      <c r="A45" s="84" t="e">
        <f>'11.F&amp;V Crop Production details'!#REF!</f>
        <v>#REF!</v>
      </c>
      <c r="B45" s="167"/>
      <c r="C45" s="216" t="e">
        <f>'11.F&amp;V Crop Production details'!#REF!</f>
        <v>#REF!</v>
      </c>
      <c r="D45" s="216" t="e">
        <f>'11.F&amp;V Crop Production details'!#REF!</f>
        <v>#REF!</v>
      </c>
      <c r="E45" s="216" t="e">
        <f>'11.F&amp;V Crop Production details'!#REF!</f>
        <v>#REF!</v>
      </c>
      <c r="F45" s="216" t="e">
        <f>'11.F&amp;V Crop Production details'!#REF!</f>
        <v>#REF!</v>
      </c>
      <c r="G45" s="216" t="e">
        <f>'11.F&amp;V Crop Production details'!#REF!</f>
        <v>#REF!</v>
      </c>
      <c r="H45" s="216" t="e">
        <f>'11.F&amp;V Crop Production details'!#REF!</f>
        <v>#REF!</v>
      </c>
      <c r="I45" s="216" t="e">
        <f>'11.F&amp;V Crop Production details'!#REF!</f>
        <v>#REF!</v>
      </c>
    </row>
    <row r="46" spans="1:9">
      <c r="A46" s="84" t="e">
        <f>'11.F&amp;V Crop Production details'!#REF!</f>
        <v>#REF!</v>
      </c>
      <c r="B46" s="167"/>
      <c r="C46" s="216" t="e">
        <f>'11.F&amp;V Crop Production details'!#REF!</f>
        <v>#REF!</v>
      </c>
      <c r="D46" s="216" t="e">
        <f>'11.F&amp;V Crop Production details'!#REF!</f>
        <v>#REF!</v>
      </c>
      <c r="E46" s="216" t="e">
        <f>'11.F&amp;V Crop Production details'!#REF!</f>
        <v>#REF!</v>
      </c>
      <c r="F46" s="216" t="e">
        <f>'11.F&amp;V Crop Production details'!#REF!</f>
        <v>#REF!</v>
      </c>
      <c r="G46" s="216" t="e">
        <f>'11.F&amp;V Crop Production details'!#REF!</f>
        <v>#REF!</v>
      </c>
      <c r="H46" s="216" t="e">
        <f>'11.F&amp;V Crop Production details'!#REF!</f>
        <v>#REF!</v>
      </c>
      <c r="I46" s="216" t="e">
        <f>'11.F&amp;V Crop Production details'!#REF!</f>
        <v>#REF!</v>
      </c>
    </row>
    <row r="47" spans="1:9">
      <c r="A47" s="84" t="e">
        <f>'11.F&amp;V Crop Production details'!#REF!</f>
        <v>#REF!</v>
      </c>
      <c r="B47" s="167"/>
      <c r="C47" s="216" t="e">
        <f>'11.F&amp;V Crop Production details'!#REF!</f>
        <v>#REF!</v>
      </c>
      <c r="D47" s="216" t="e">
        <f>'11.F&amp;V Crop Production details'!#REF!</f>
        <v>#REF!</v>
      </c>
      <c r="E47" s="216" t="e">
        <f>'11.F&amp;V Crop Production details'!#REF!</f>
        <v>#REF!</v>
      </c>
      <c r="F47" s="216" t="e">
        <f>'11.F&amp;V Crop Production details'!#REF!</f>
        <v>#REF!</v>
      </c>
      <c r="G47" s="216" t="e">
        <f>'11.F&amp;V Crop Production details'!#REF!</f>
        <v>#REF!</v>
      </c>
      <c r="H47" s="216" t="e">
        <f>'11.F&amp;V Crop Production details'!#REF!</f>
        <v>#REF!</v>
      </c>
      <c r="I47" s="216" t="e">
        <f>'11.F&amp;V Crop Production details'!#REF!</f>
        <v>#REF!</v>
      </c>
    </row>
    <row r="48" spans="1:9">
      <c r="A48" s="84" t="e">
        <f>'11.F&amp;V Crop Production details'!#REF!</f>
        <v>#REF!</v>
      </c>
      <c r="B48" s="167"/>
      <c r="C48" s="216" t="e">
        <f>'11.F&amp;V Crop Production details'!#REF!</f>
        <v>#REF!</v>
      </c>
      <c r="D48" s="216" t="e">
        <f>'11.F&amp;V Crop Production details'!#REF!</f>
        <v>#REF!</v>
      </c>
      <c r="E48" s="216" t="e">
        <f>'11.F&amp;V Crop Production details'!#REF!</f>
        <v>#REF!</v>
      </c>
      <c r="F48" s="216" t="e">
        <f>'11.F&amp;V Crop Production details'!#REF!</f>
        <v>#REF!</v>
      </c>
      <c r="G48" s="216" t="e">
        <f>'11.F&amp;V Crop Production details'!#REF!</f>
        <v>#REF!</v>
      </c>
      <c r="H48" s="216" t="e">
        <f>'11.F&amp;V Crop Production details'!#REF!</f>
        <v>#REF!</v>
      </c>
      <c r="I48" s="216" t="e">
        <f>'11.F&amp;V Crop Production details'!#REF!</f>
        <v>#REF!</v>
      </c>
    </row>
    <row r="49" spans="1:9">
      <c r="A49" s="84" t="e">
        <f>'11.F&amp;V Crop Production details'!#REF!</f>
        <v>#REF!</v>
      </c>
      <c r="B49" s="167"/>
      <c r="C49" s="216" t="e">
        <f>'11.F&amp;V Crop Production details'!#REF!</f>
        <v>#REF!</v>
      </c>
      <c r="D49" s="216" t="e">
        <f>'11.F&amp;V Crop Production details'!#REF!</f>
        <v>#REF!</v>
      </c>
      <c r="E49" s="216" t="e">
        <f>'11.F&amp;V Crop Production details'!#REF!</f>
        <v>#REF!</v>
      </c>
      <c r="F49" s="216" t="e">
        <f>'11.F&amp;V Crop Production details'!#REF!</f>
        <v>#REF!</v>
      </c>
      <c r="G49" s="216" t="e">
        <f>'11.F&amp;V Crop Production details'!#REF!</f>
        <v>#REF!</v>
      </c>
      <c r="H49" s="216" t="e">
        <f>'11.F&amp;V Crop Production details'!#REF!</f>
        <v>#REF!</v>
      </c>
      <c r="I49" s="216" t="e">
        <f>'11.F&amp;V Crop Production details'!#REF!</f>
        <v>#REF!</v>
      </c>
    </row>
    <row r="50" spans="1:9">
      <c r="A50" s="84" t="e">
        <f>'11.F&amp;V Crop Production details'!#REF!</f>
        <v>#REF!</v>
      </c>
      <c r="B50" s="167"/>
      <c r="C50" s="216" t="e">
        <f>'11.F&amp;V Crop Production details'!#REF!</f>
        <v>#REF!</v>
      </c>
      <c r="D50" s="216" t="e">
        <f>'11.F&amp;V Crop Production details'!#REF!</f>
        <v>#REF!</v>
      </c>
      <c r="E50" s="216" t="e">
        <f>'11.F&amp;V Crop Production details'!#REF!</f>
        <v>#REF!</v>
      </c>
      <c r="F50" s="216" t="e">
        <f>'11.F&amp;V Crop Production details'!#REF!</f>
        <v>#REF!</v>
      </c>
      <c r="G50" s="216" t="e">
        <f>'11.F&amp;V Crop Production details'!#REF!</f>
        <v>#REF!</v>
      </c>
      <c r="H50" s="216" t="e">
        <f>'11.F&amp;V Crop Production details'!#REF!</f>
        <v>#REF!</v>
      </c>
      <c r="I50" s="216" t="e">
        <f>'11.F&amp;V Crop Production details'!#REF!</f>
        <v>#REF!</v>
      </c>
    </row>
    <row r="51" spans="1:9">
      <c r="A51" s="84" t="e">
        <f>'11.F&amp;V Crop Production details'!#REF!</f>
        <v>#REF!</v>
      </c>
      <c r="B51" s="167"/>
      <c r="C51" s="216" t="e">
        <f>'11.F&amp;V Crop Production details'!#REF!</f>
        <v>#REF!</v>
      </c>
      <c r="D51" s="216" t="e">
        <f>'11.F&amp;V Crop Production details'!#REF!</f>
        <v>#REF!</v>
      </c>
      <c r="E51" s="216" t="e">
        <f>'11.F&amp;V Crop Production details'!#REF!</f>
        <v>#REF!</v>
      </c>
      <c r="F51" s="216" t="e">
        <f>'11.F&amp;V Crop Production details'!#REF!</f>
        <v>#REF!</v>
      </c>
      <c r="G51" s="216" t="e">
        <f>'11.F&amp;V Crop Production details'!#REF!</f>
        <v>#REF!</v>
      </c>
      <c r="H51" s="216" t="e">
        <f>'11.F&amp;V Crop Production details'!#REF!</f>
        <v>#REF!</v>
      </c>
      <c r="I51" s="216" t="e">
        <f>'11.F&amp;V Crop Production details'!#REF!</f>
        <v>#REF!</v>
      </c>
    </row>
    <row r="52" spans="1:9">
      <c r="A52" s="84" t="e">
        <f>'11.F&amp;V Crop Production details'!#REF!</f>
        <v>#REF!</v>
      </c>
      <c r="B52" s="167"/>
      <c r="C52" s="216" t="e">
        <f>'11.F&amp;V Crop Production details'!#REF!</f>
        <v>#REF!</v>
      </c>
      <c r="D52" s="216" t="e">
        <f>'11.F&amp;V Crop Production details'!#REF!</f>
        <v>#REF!</v>
      </c>
      <c r="E52" s="216" t="e">
        <f>'11.F&amp;V Crop Production details'!#REF!</f>
        <v>#REF!</v>
      </c>
      <c r="F52" s="216" t="e">
        <f>'11.F&amp;V Crop Production details'!#REF!</f>
        <v>#REF!</v>
      </c>
      <c r="G52" s="216" t="e">
        <f>'11.F&amp;V Crop Production details'!#REF!</f>
        <v>#REF!</v>
      </c>
      <c r="H52" s="216" t="e">
        <f>'11.F&amp;V Crop Production details'!#REF!</f>
        <v>#REF!</v>
      </c>
      <c r="I52" s="216" t="e">
        <f>'11.F&amp;V Crop Production details'!#REF!</f>
        <v>#REF!</v>
      </c>
    </row>
    <row r="53" spans="1:9">
      <c r="A53" s="84" t="e">
        <f>'11.F&amp;V Crop Production details'!#REF!</f>
        <v>#REF!</v>
      </c>
      <c r="B53" s="167"/>
      <c r="C53" s="216" t="e">
        <f>'11.F&amp;V Crop Production details'!#REF!</f>
        <v>#REF!</v>
      </c>
      <c r="D53" s="216" t="e">
        <f>'11.F&amp;V Crop Production details'!#REF!</f>
        <v>#REF!</v>
      </c>
      <c r="E53" s="216" t="e">
        <f>'11.F&amp;V Crop Production details'!#REF!</f>
        <v>#REF!</v>
      </c>
      <c r="F53" s="216" t="e">
        <f>'11.F&amp;V Crop Production details'!#REF!</f>
        <v>#REF!</v>
      </c>
      <c r="G53" s="216" t="e">
        <f>'11.F&amp;V Crop Production details'!#REF!</f>
        <v>#REF!</v>
      </c>
      <c r="H53" s="216" t="e">
        <f>'11.F&amp;V Crop Production details'!#REF!</f>
        <v>#REF!</v>
      </c>
      <c r="I53" s="216" t="e">
        <f>'11.F&amp;V Crop Production details'!#REF!</f>
        <v>#REF!</v>
      </c>
    </row>
    <row r="54" spans="1:9">
      <c r="A54" s="84" t="e">
        <f>'11.F&amp;V Crop Production details'!#REF!</f>
        <v>#REF!</v>
      </c>
      <c r="B54" s="167"/>
      <c r="C54" s="216" t="e">
        <f>'11.F&amp;V Crop Production details'!#REF!</f>
        <v>#REF!</v>
      </c>
      <c r="D54" s="216" t="e">
        <f>'11.F&amp;V Crop Production details'!#REF!</f>
        <v>#REF!</v>
      </c>
      <c r="E54" s="216" t="e">
        <f>'11.F&amp;V Crop Production details'!#REF!</f>
        <v>#REF!</v>
      </c>
      <c r="F54" s="216" t="e">
        <f>'11.F&amp;V Crop Production details'!#REF!</f>
        <v>#REF!</v>
      </c>
      <c r="G54" s="216" t="e">
        <f>'11.F&amp;V Crop Production details'!#REF!</f>
        <v>#REF!</v>
      </c>
      <c r="H54" s="216" t="e">
        <f>'11.F&amp;V Crop Production details'!#REF!</f>
        <v>#REF!</v>
      </c>
      <c r="I54" s="216" t="e">
        <f>'11.F&amp;V Crop Production details'!#REF!</f>
        <v>#REF!</v>
      </c>
    </row>
    <row r="55" spans="1:9">
      <c r="A55" s="84" t="e">
        <f>'11.F&amp;V Crop Production details'!#REF!</f>
        <v>#REF!</v>
      </c>
      <c r="B55" s="167"/>
      <c r="C55" s="216" t="e">
        <f>'11.F&amp;V Crop Production details'!#REF!</f>
        <v>#REF!</v>
      </c>
      <c r="D55" s="216" t="e">
        <f>'11.F&amp;V Crop Production details'!#REF!</f>
        <v>#REF!</v>
      </c>
      <c r="E55" s="216" t="e">
        <f>'11.F&amp;V Crop Production details'!#REF!</f>
        <v>#REF!</v>
      </c>
      <c r="F55" s="216" t="e">
        <f>'11.F&amp;V Crop Production details'!#REF!</f>
        <v>#REF!</v>
      </c>
      <c r="G55" s="216" t="e">
        <f>'11.F&amp;V Crop Production details'!#REF!</f>
        <v>#REF!</v>
      </c>
      <c r="H55" s="216" t="e">
        <f>'11.F&amp;V Crop Production details'!#REF!</f>
        <v>#REF!</v>
      </c>
      <c r="I55" s="216" t="e">
        <f>'11.F&amp;V Crop Production details'!#REF!</f>
        <v>#REF!</v>
      </c>
    </row>
    <row r="56" spans="1:9">
      <c r="A56" s="84" t="e">
        <f>'11.F&amp;V Crop Production details'!#REF!</f>
        <v>#REF!</v>
      </c>
      <c r="B56" s="167"/>
      <c r="C56" s="216" t="e">
        <f>'11.F&amp;V Crop Production details'!#REF!</f>
        <v>#REF!</v>
      </c>
      <c r="D56" s="216" t="e">
        <f>'11.F&amp;V Crop Production details'!#REF!</f>
        <v>#REF!</v>
      </c>
      <c r="E56" s="216" t="e">
        <f>'11.F&amp;V Crop Production details'!#REF!</f>
        <v>#REF!</v>
      </c>
      <c r="F56" s="216" t="e">
        <f>'11.F&amp;V Crop Production details'!#REF!</f>
        <v>#REF!</v>
      </c>
      <c r="G56" s="216" t="e">
        <f>'11.F&amp;V Crop Production details'!#REF!</f>
        <v>#REF!</v>
      </c>
      <c r="H56" s="216" t="e">
        <f>'11.F&amp;V Crop Production details'!#REF!</f>
        <v>#REF!</v>
      </c>
      <c r="I56" s="216" t="e">
        <f>'11.F&amp;V Crop Production details'!#REF!</f>
        <v>#REF!</v>
      </c>
    </row>
    <row r="57" spans="1:9">
      <c r="A57" s="84" t="e">
        <f>'11.F&amp;V Crop Production details'!#REF!</f>
        <v>#REF!</v>
      </c>
      <c r="B57" s="167"/>
      <c r="C57" s="216" t="e">
        <f>'11.F&amp;V Crop Production details'!#REF!</f>
        <v>#REF!</v>
      </c>
      <c r="D57" s="216" t="e">
        <f>'11.F&amp;V Crop Production details'!#REF!</f>
        <v>#REF!</v>
      </c>
      <c r="E57" s="216" t="e">
        <f>'11.F&amp;V Crop Production details'!#REF!</f>
        <v>#REF!</v>
      </c>
      <c r="F57" s="216" t="e">
        <f>'11.F&amp;V Crop Production details'!#REF!</f>
        <v>#REF!</v>
      </c>
      <c r="G57" s="216" t="e">
        <f>'11.F&amp;V Crop Production details'!#REF!</f>
        <v>#REF!</v>
      </c>
      <c r="H57" s="216" t="e">
        <f>'11.F&amp;V Crop Production details'!#REF!</f>
        <v>#REF!</v>
      </c>
      <c r="I57" s="216" t="e">
        <f>'11.F&amp;V Crop Production details'!#REF!</f>
        <v>#REF!</v>
      </c>
    </row>
    <row r="58" spans="1:9">
      <c r="A58" s="84"/>
      <c r="B58" s="167"/>
      <c r="C58" s="167"/>
      <c r="D58" s="167"/>
      <c r="E58" s="167"/>
      <c r="F58" s="167"/>
      <c r="G58" s="167"/>
      <c r="H58" s="167"/>
      <c r="I58" s="167"/>
    </row>
    <row r="59" spans="1:9">
      <c r="A59" s="86" t="s">
        <v>177</v>
      </c>
      <c r="B59" s="84"/>
      <c r="C59" s="84"/>
      <c r="D59" s="84"/>
      <c r="E59" s="84"/>
      <c r="F59" s="84"/>
      <c r="G59" s="84"/>
      <c r="H59" s="84"/>
      <c r="I59" s="84"/>
    </row>
    <row r="60" spans="1:9">
      <c r="A60" s="86" t="s">
        <v>178</v>
      </c>
      <c r="B60" s="84"/>
      <c r="C60" s="84"/>
      <c r="D60" s="84"/>
      <c r="E60" s="84"/>
      <c r="F60" s="84"/>
      <c r="G60" s="84"/>
      <c r="H60" s="84"/>
      <c r="I60" s="84"/>
    </row>
    <row r="61" spans="1:9">
      <c r="A61" s="86" t="str">
        <f t="shared" ref="A61:A92" si="0">A8</f>
        <v>Kharif Crops</v>
      </c>
      <c r="B61" s="84"/>
      <c r="C61" s="84"/>
      <c r="D61" s="84"/>
      <c r="E61" s="84"/>
      <c r="F61" s="84"/>
      <c r="G61" s="84"/>
      <c r="H61" s="84"/>
      <c r="I61" s="84"/>
    </row>
    <row r="62" spans="1:9">
      <c r="A62" s="84" t="e">
        <f t="shared" si="0"/>
        <v>#REF!</v>
      </c>
      <c r="B62" s="192">
        <v>40</v>
      </c>
      <c r="C62" s="168" t="e">
        <f>$B62*C9</f>
        <v>#REF!</v>
      </c>
      <c r="D62" s="168" t="e">
        <f>$B62*D9</f>
        <v>#REF!</v>
      </c>
      <c r="E62" s="168" t="e">
        <f t="shared" ref="E62:I62" si="1">$B62*E9</f>
        <v>#REF!</v>
      </c>
      <c r="F62" s="168" t="e">
        <f t="shared" si="1"/>
        <v>#REF!</v>
      </c>
      <c r="G62" s="168" t="e">
        <f t="shared" si="1"/>
        <v>#REF!</v>
      </c>
      <c r="H62" s="168" t="e">
        <f t="shared" si="1"/>
        <v>#REF!</v>
      </c>
      <c r="I62" s="168" t="e">
        <f t="shared" si="1"/>
        <v>#REF!</v>
      </c>
    </row>
    <row r="63" spans="1:9">
      <c r="A63" s="84" t="e">
        <f t="shared" si="0"/>
        <v>#REF!</v>
      </c>
      <c r="B63" s="192">
        <v>5</v>
      </c>
      <c r="C63" s="168" t="e">
        <f>$B63*C10</f>
        <v>#REF!</v>
      </c>
      <c r="D63" s="168" t="e">
        <f t="shared" ref="D63:I63" si="2">$B$63*D10</f>
        <v>#REF!</v>
      </c>
      <c r="E63" s="168" t="e">
        <f t="shared" si="2"/>
        <v>#REF!</v>
      </c>
      <c r="F63" s="168" t="e">
        <f t="shared" si="2"/>
        <v>#REF!</v>
      </c>
      <c r="G63" s="168" t="e">
        <f t="shared" si="2"/>
        <v>#REF!</v>
      </c>
      <c r="H63" s="168" t="e">
        <f t="shared" si="2"/>
        <v>#REF!</v>
      </c>
      <c r="I63" s="168" t="e">
        <f t="shared" si="2"/>
        <v>#REF!</v>
      </c>
    </row>
    <row r="64" spans="1:9">
      <c r="A64" s="84" t="e">
        <f t="shared" si="0"/>
        <v>#REF!</v>
      </c>
      <c r="B64" s="192">
        <v>15</v>
      </c>
      <c r="C64" s="168" t="e">
        <f>$B64*C11</f>
        <v>#REF!</v>
      </c>
      <c r="D64" s="168" t="e">
        <f t="shared" ref="D64:I64" si="3">$B$64*D11</f>
        <v>#REF!</v>
      </c>
      <c r="E64" s="168" t="e">
        <f t="shared" si="3"/>
        <v>#REF!</v>
      </c>
      <c r="F64" s="168" t="e">
        <f t="shared" si="3"/>
        <v>#REF!</v>
      </c>
      <c r="G64" s="168" t="e">
        <f t="shared" si="3"/>
        <v>#REF!</v>
      </c>
      <c r="H64" s="168" t="e">
        <f t="shared" si="3"/>
        <v>#REF!</v>
      </c>
      <c r="I64" s="168" t="e">
        <f t="shared" si="3"/>
        <v>#REF!</v>
      </c>
    </row>
    <row r="65" spans="1:9">
      <c r="A65" s="84" t="e">
        <f t="shared" si="0"/>
        <v>#REF!</v>
      </c>
      <c r="B65" s="192">
        <v>15</v>
      </c>
      <c r="C65" s="168" t="e">
        <f>$B65*C12</f>
        <v>#REF!</v>
      </c>
      <c r="D65" s="168" t="e">
        <f t="shared" ref="D65:I67" si="4">$B65*D12</f>
        <v>#REF!</v>
      </c>
      <c r="E65" s="168" t="e">
        <f t="shared" si="4"/>
        <v>#REF!</v>
      </c>
      <c r="F65" s="168" t="e">
        <f t="shared" si="4"/>
        <v>#REF!</v>
      </c>
      <c r="G65" s="168" t="e">
        <f t="shared" si="4"/>
        <v>#REF!</v>
      </c>
      <c r="H65" s="168" t="e">
        <f t="shared" si="4"/>
        <v>#REF!</v>
      </c>
      <c r="I65" s="168" t="e">
        <f t="shared" si="4"/>
        <v>#REF!</v>
      </c>
    </row>
    <row r="66" spans="1:9">
      <c r="A66" s="84" t="e">
        <f t="shared" si="0"/>
        <v>#REF!</v>
      </c>
      <c r="B66" s="192">
        <v>25</v>
      </c>
      <c r="C66" s="168" t="e">
        <f>$B66*C13</f>
        <v>#REF!</v>
      </c>
      <c r="D66" s="168" t="e">
        <f t="shared" si="4"/>
        <v>#REF!</v>
      </c>
      <c r="E66" s="168" t="e">
        <f t="shared" si="4"/>
        <v>#REF!</v>
      </c>
      <c r="F66" s="168" t="e">
        <f t="shared" si="4"/>
        <v>#REF!</v>
      </c>
      <c r="G66" s="168" t="e">
        <f t="shared" si="4"/>
        <v>#REF!</v>
      </c>
      <c r="H66" s="168" t="e">
        <f t="shared" si="4"/>
        <v>#REF!</v>
      </c>
      <c r="I66" s="168" t="e">
        <f t="shared" si="4"/>
        <v>#REF!</v>
      </c>
    </row>
    <row r="67" spans="1:9">
      <c r="A67" s="84" t="e">
        <f t="shared" si="0"/>
        <v>#REF!</v>
      </c>
      <c r="B67" s="192">
        <v>15</v>
      </c>
      <c r="C67" s="168" t="e">
        <f>$B67*C14</f>
        <v>#REF!</v>
      </c>
      <c r="D67" s="168" t="e">
        <f t="shared" si="4"/>
        <v>#REF!</v>
      </c>
      <c r="E67" s="168" t="e">
        <f t="shared" si="4"/>
        <v>#REF!</v>
      </c>
      <c r="F67" s="168" t="e">
        <f t="shared" si="4"/>
        <v>#REF!</v>
      </c>
      <c r="G67" s="168" t="e">
        <f t="shared" si="4"/>
        <v>#REF!</v>
      </c>
      <c r="H67" s="168" t="e">
        <f t="shared" si="4"/>
        <v>#REF!</v>
      </c>
      <c r="I67" s="168" t="e">
        <f t="shared" si="4"/>
        <v>#REF!</v>
      </c>
    </row>
    <row r="68" spans="1:9">
      <c r="A68" s="84" t="e">
        <f t="shared" si="0"/>
        <v>#REF!</v>
      </c>
      <c r="B68" s="192">
        <v>5</v>
      </c>
      <c r="C68" s="168" t="e">
        <f t="shared" ref="C68:I68" si="5">$B68*C15</f>
        <v>#REF!</v>
      </c>
      <c r="D68" s="168" t="e">
        <f t="shared" si="5"/>
        <v>#REF!</v>
      </c>
      <c r="E68" s="168" t="e">
        <f t="shared" si="5"/>
        <v>#REF!</v>
      </c>
      <c r="F68" s="168" t="e">
        <f t="shared" si="5"/>
        <v>#REF!</v>
      </c>
      <c r="G68" s="168" t="e">
        <f t="shared" si="5"/>
        <v>#REF!</v>
      </c>
      <c r="H68" s="168" t="e">
        <f t="shared" si="5"/>
        <v>#REF!</v>
      </c>
      <c r="I68" s="168" t="e">
        <f t="shared" si="5"/>
        <v>#REF!</v>
      </c>
    </row>
    <row r="69" spans="1:9">
      <c r="A69" s="84" t="e">
        <f t="shared" si="0"/>
        <v>#REF!</v>
      </c>
      <c r="B69" s="192">
        <v>5</v>
      </c>
      <c r="C69" s="168" t="e">
        <f t="shared" ref="C69:I69" si="6">$B69*C16</f>
        <v>#REF!</v>
      </c>
      <c r="D69" s="168" t="e">
        <f t="shared" si="6"/>
        <v>#REF!</v>
      </c>
      <c r="E69" s="168" t="e">
        <f t="shared" si="6"/>
        <v>#REF!</v>
      </c>
      <c r="F69" s="168" t="e">
        <f t="shared" si="6"/>
        <v>#REF!</v>
      </c>
      <c r="G69" s="168" t="e">
        <f t="shared" si="6"/>
        <v>#REF!</v>
      </c>
      <c r="H69" s="168" t="e">
        <f t="shared" si="6"/>
        <v>#REF!</v>
      </c>
      <c r="I69" s="168" t="e">
        <f t="shared" si="6"/>
        <v>#REF!</v>
      </c>
    </row>
    <row r="70" spans="1:9">
      <c r="A70" s="86" t="str">
        <f t="shared" si="0"/>
        <v>Rabi Crop</v>
      </c>
      <c r="B70" s="192"/>
      <c r="C70" s="168"/>
      <c r="D70" s="168"/>
      <c r="E70" s="168"/>
      <c r="F70" s="168"/>
      <c r="G70" s="168"/>
      <c r="H70" s="168"/>
      <c r="I70" s="168"/>
    </row>
    <row r="71" spans="1:9">
      <c r="A71" s="84" t="e">
        <f t="shared" si="0"/>
        <v>#REF!</v>
      </c>
      <c r="B71" s="192">
        <v>20</v>
      </c>
      <c r="C71" s="168" t="e">
        <f t="shared" ref="C71:I71" si="7">$B71*C18</f>
        <v>#REF!</v>
      </c>
      <c r="D71" s="168" t="e">
        <f t="shared" si="7"/>
        <v>#REF!</v>
      </c>
      <c r="E71" s="168" t="e">
        <f t="shared" si="7"/>
        <v>#REF!</v>
      </c>
      <c r="F71" s="168" t="e">
        <f t="shared" si="7"/>
        <v>#REF!</v>
      </c>
      <c r="G71" s="168" t="e">
        <f t="shared" si="7"/>
        <v>#REF!</v>
      </c>
      <c r="H71" s="168" t="e">
        <f t="shared" si="7"/>
        <v>#REF!</v>
      </c>
      <c r="I71" s="168" t="e">
        <f t="shared" si="7"/>
        <v>#REF!</v>
      </c>
    </row>
    <row r="72" spans="1:9">
      <c r="A72" s="84" t="e">
        <f t="shared" si="0"/>
        <v>#REF!</v>
      </c>
      <c r="B72" s="192">
        <v>25</v>
      </c>
      <c r="C72" s="168" t="e">
        <f t="shared" ref="C72:I72" si="8">$B72*C19</f>
        <v>#REF!</v>
      </c>
      <c r="D72" s="168" t="e">
        <f t="shared" si="8"/>
        <v>#REF!</v>
      </c>
      <c r="E72" s="168" t="e">
        <f t="shared" si="8"/>
        <v>#REF!</v>
      </c>
      <c r="F72" s="168" t="e">
        <f t="shared" si="8"/>
        <v>#REF!</v>
      </c>
      <c r="G72" s="168" t="e">
        <f t="shared" si="8"/>
        <v>#REF!</v>
      </c>
      <c r="H72" s="168" t="e">
        <f t="shared" si="8"/>
        <v>#REF!</v>
      </c>
      <c r="I72" s="168" t="e">
        <f t="shared" si="8"/>
        <v>#REF!</v>
      </c>
    </row>
    <row r="73" spans="1:9">
      <c r="A73" s="84" t="e">
        <f t="shared" si="0"/>
        <v>#REF!</v>
      </c>
      <c r="B73" s="192">
        <v>5</v>
      </c>
      <c r="C73" s="168" t="e">
        <f t="shared" ref="C73:I73" si="9">$B73*C20</f>
        <v>#REF!</v>
      </c>
      <c r="D73" s="168" t="e">
        <f t="shared" si="9"/>
        <v>#REF!</v>
      </c>
      <c r="E73" s="168" t="e">
        <f t="shared" si="9"/>
        <v>#REF!</v>
      </c>
      <c r="F73" s="168" t="e">
        <f t="shared" si="9"/>
        <v>#REF!</v>
      </c>
      <c r="G73" s="168" t="e">
        <f t="shared" si="9"/>
        <v>#REF!</v>
      </c>
      <c r="H73" s="168" t="e">
        <f t="shared" si="9"/>
        <v>#REF!</v>
      </c>
      <c r="I73" s="168" t="e">
        <f t="shared" si="9"/>
        <v>#REF!</v>
      </c>
    </row>
    <row r="74" spans="1:9">
      <c r="A74" s="84" t="e">
        <f t="shared" si="0"/>
        <v>#REF!</v>
      </c>
      <c r="B74" s="192">
        <v>20</v>
      </c>
      <c r="C74" s="168" t="e">
        <f t="shared" ref="C74:I74" si="10">$B74*C21</f>
        <v>#REF!</v>
      </c>
      <c r="D74" s="168" t="e">
        <f t="shared" si="10"/>
        <v>#REF!</v>
      </c>
      <c r="E74" s="168" t="e">
        <f t="shared" si="10"/>
        <v>#REF!</v>
      </c>
      <c r="F74" s="168" t="e">
        <f t="shared" si="10"/>
        <v>#REF!</v>
      </c>
      <c r="G74" s="168" t="e">
        <f t="shared" si="10"/>
        <v>#REF!</v>
      </c>
      <c r="H74" s="168" t="e">
        <f t="shared" si="10"/>
        <v>#REF!</v>
      </c>
      <c r="I74" s="168" t="e">
        <f t="shared" si="10"/>
        <v>#REF!</v>
      </c>
    </row>
    <row r="75" spans="1:9">
      <c r="A75" s="84" t="e">
        <f t="shared" si="0"/>
        <v>#REF!</v>
      </c>
      <c r="B75" s="192"/>
      <c r="C75" s="168" t="e">
        <f t="shared" ref="C75:I75" si="11">$B75*C22</f>
        <v>#REF!</v>
      </c>
      <c r="D75" s="168" t="e">
        <f t="shared" si="11"/>
        <v>#REF!</v>
      </c>
      <c r="E75" s="168" t="e">
        <f t="shared" si="11"/>
        <v>#REF!</v>
      </c>
      <c r="F75" s="168" t="e">
        <f t="shared" si="11"/>
        <v>#REF!</v>
      </c>
      <c r="G75" s="168" t="e">
        <f t="shared" si="11"/>
        <v>#REF!</v>
      </c>
      <c r="H75" s="168" t="e">
        <f t="shared" si="11"/>
        <v>#REF!</v>
      </c>
      <c r="I75" s="168" t="e">
        <f t="shared" si="11"/>
        <v>#REF!</v>
      </c>
    </row>
    <row r="76" spans="1:9">
      <c r="A76" s="84" t="e">
        <f t="shared" si="0"/>
        <v>#REF!</v>
      </c>
      <c r="B76" s="192"/>
      <c r="C76" s="168" t="e">
        <f t="shared" ref="C76:I76" si="12">$B76*C23</f>
        <v>#REF!</v>
      </c>
      <c r="D76" s="168" t="e">
        <f t="shared" si="12"/>
        <v>#REF!</v>
      </c>
      <c r="E76" s="168" t="e">
        <f t="shared" si="12"/>
        <v>#REF!</v>
      </c>
      <c r="F76" s="168" t="e">
        <f t="shared" si="12"/>
        <v>#REF!</v>
      </c>
      <c r="G76" s="168" t="e">
        <f t="shared" si="12"/>
        <v>#REF!</v>
      </c>
      <c r="H76" s="168" t="e">
        <f t="shared" si="12"/>
        <v>#REF!</v>
      </c>
      <c r="I76" s="168" t="e">
        <f t="shared" si="12"/>
        <v>#REF!</v>
      </c>
    </row>
    <row r="77" spans="1:9">
      <c r="A77" s="84" t="e">
        <f t="shared" si="0"/>
        <v>#REF!</v>
      </c>
      <c r="B77" s="192"/>
      <c r="C77" s="168" t="e">
        <f t="shared" ref="C77:I77" si="13">$B77*C24</f>
        <v>#REF!</v>
      </c>
      <c r="D77" s="168" t="e">
        <f t="shared" si="13"/>
        <v>#REF!</v>
      </c>
      <c r="E77" s="168" t="e">
        <f t="shared" si="13"/>
        <v>#REF!</v>
      </c>
      <c r="F77" s="168" t="e">
        <f t="shared" si="13"/>
        <v>#REF!</v>
      </c>
      <c r="G77" s="168" t="e">
        <f t="shared" si="13"/>
        <v>#REF!</v>
      </c>
      <c r="H77" s="168" t="e">
        <f t="shared" si="13"/>
        <v>#REF!</v>
      </c>
      <c r="I77" s="168" t="e">
        <f t="shared" si="13"/>
        <v>#REF!</v>
      </c>
    </row>
    <row r="78" spans="1:9">
      <c r="A78" s="84" t="e">
        <f t="shared" si="0"/>
        <v>#REF!</v>
      </c>
      <c r="B78" s="192"/>
      <c r="C78" s="168" t="e">
        <f t="shared" ref="C78:I78" si="14">$B78*C25</f>
        <v>#REF!</v>
      </c>
      <c r="D78" s="168" t="e">
        <f t="shared" si="14"/>
        <v>#REF!</v>
      </c>
      <c r="E78" s="168" t="e">
        <f t="shared" si="14"/>
        <v>#REF!</v>
      </c>
      <c r="F78" s="168" t="e">
        <f t="shared" si="14"/>
        <v>#REF!</v>
      </c>
      <c r="G78" s="168" t="e">
        <f t="shared" si="14"/>
        <v>#REF!</v>
      </c>
      <c r="H78" s="168" t="e">
        <f t="shared" si="14"/>
        <v>#REF!</v>
      </c>
      <c r="I78" s="168" t="e">
        <f t="shared" si="14"/>
        <v>#REF!</v>
      </c>
    </row>
    <row r="79" spans="1:9">
      <c r="A79" s="86" t="e">
        <f t="shared" si="0"/>
        <v>#REF!</v>
      </c>
      <c r="B79" s="192"/>
      <c r="C79" s="168"/>
      <c r="D79" s="168"/>
      <c r="E79" s="168"/>
      <c r="F79" s="168"/>
      <c r="G79" s="168"/>
      <c r="H79" s="168"/>
      <c r="I79" s="168"/>
    </row>
    <row r="80" spans="1:9">
      <c r="A80" s="84" t="e">
        <f t="shared" si="0"/>
        <v>#REF!</v>
      </c>
      <c r="B80" s="192"/>
      <c r="C80" s="168" t="e">
        <f t="shared" ref="C80:I80" si="15">$B80*C27</f>
        <v>#REF!</v>
      </c>
      <c r="D80" s="168" t="e">
        <f t="shared" si="15"/>
        <v>#REF!</v>
      </c>
      <c r="E80" s="168" t="e">
        <f t="shared" si="15"/>
        <v>#REF!</v>
      </c>
      <c r="F80" s="168" t="e">
        <f t="shared" si="15"/>
        <v>#REF!</v>
      </c>
      <c r="G80" s="168" t="e">
        <f t="shared" si="15"/>
        <v>#REF!</v>
      </c>
      <c r="H80" s="168" t="e">
        <f t="shared" si="15"/>
        <v>#REF!</v>
      </c>
      <c r="I80" s="168" t="e">
        <f t="shared" si="15"/>
        <v>#REF!</v>
      </c>
    </row>
    <row r="81" spans="1:9">
      <c r="A81" s="84" t="e">
        <f t="shared" si="0"/>
        <v>#REF!</v>
      </c>
      <c r="B81" s="192"/>
      <c r="C81" s="168" t="e">
        <f t="shared" ref="C81:I81" si="16">$B81*C28</f>
        <v>#REF!</v>
      </c>
      <c r="D81" s="168" t="e">
        <f t="shared" si="16"/>
        <v>#REF!</v>
      </c>
      <c r="E81" s="168" t="e">
        <f t="shared" si="16"/>
        <v>#REF!</v>
      </c>
      <c r="F81" s="168" t="e">
        <f t="shared" si="16"/>
        <v>#REF!</v>
      </c>
      <c r="G81" s="168" t="e">
        <f t="shared" si="16"/>
        <v>#REF!</v>
      </c>
      <c r="H81" s="168" t="e">
        <f t="shared" si="16"/>
        <v>#REF!</v>
      </c>
      <c r="I81" s="168" t="e">
        <f t="shared" si="16"/>
        <v>#REF!</v>
      </c>
    </row>
    <row r="82" spans="1:9">
      <c r="A82" s="84" t="e">
        <f t="shared" si="0"/>
        <v>#REF!</v>
      </c>
      <c r="B82" s="192"/>
      <c r="C82" s="168" t="e">
        <f t="shared" ref="C82:I82" si="17">$B82*C29</f>
        <v>#REF!</v>
      </c>
      <c r="D82" s="168" t="e">
        <f t="shared" si="17"/>
        <v>#REF!</v>
      </c>
      <c r="E82" s="168" t="e">
        <f t="shared" si="17"/>
        <v>#REF!</v>
      </c>
      <c r="F82" s="168" t="e">
        <f t="shared" si="17"/>
        <v>#REF!</v>
      </c>
      <c r="G82" s="168" t="e">
        <f t="shared" si="17"/>
        <v>#REF!</v>
      </c>
      <c r="H82" s="168" t="e">
        <f t="shared" si="17"/>
        <v>#REF!</v>
      </c>
      <c r="I82" s="168" t="e">
        <f t="shared" si="17"/>
        <v>#REF!</v>
      </c>
    </row>
    <row r="83" spans="1:9">
      <c r="A83" s="84" t="e">
        <f t="shared" si="0"/>
        <v>#REF!</v>
      </c>
      <c r="B83" s="192"/>
      <c r="C83" s="168" t="e">
        <f t="shared" ref="C83:I83" si="18">$B83*C30</f>
        <v>#REF!</v>
      </c>
      <c r="D83" s="168" t="e">
        <f t="shared" si="18"/>
        <v>#REF!</v>
      </c>
      <c r="E83" s="168" t="e">
        <f t="shared" si="18"/>
        <v>#REF!</v>
      </c>
      <c r="F83" s="168" t="e">
        <f t="shared" si="18"/>
        <v>#REF!</v>
      </c>
      <c r="G83" s="168" t="e">
        <f t="shared" si="18"/>
        <v>#REF!</v>
      </c>
      <c r="H83" s="168" t="e">
        <f t="shared" si="18"/>
        <v>#REF!</v>
      </c>
      <c r="I83" s="168" t="e">
        <f t="shared" si="18"/>
        <v>#REF!</v>
      </c>
    </row>
    <row r="84" spans="1:9">
      <c r="A84" s="84" t="e">
        <f t="shared" si="0"/>
        <v>#REF!</v>
      </c>
      <c r="B84" s="192"/>
      <c r="C84" s="168" t="e">
        <f t="shared" ref="C84:I84" si="19">$B84*C31</f>
        <v>#REF!</v>
      </c>
      <c r="D84" s="168" t="e">
        <f t="shared" si="19"/>
        <v>#REF!</v>
      </c>
      <c r="E84" s="168" t="e">
        <f t="shared" si="19"/>
        <v>#REF!</v>
      </c>
      <c r="F84" s="168" t="e">
        <f t="shared" si="19"/>
        <v>#REF!</v>
      </c>
      <c r="G84" s="168" t="e">
        <f t="shared" si="19"/>
        <v>#REF!</v>
      </c>
      <c r="H84" s="168" t="e">
        <f t="shared" si="19"/>
        <v>#REF!</v>
      </c>
      <c r="I84" s="168" t="e">
        <f t="shared" si="19"/>
        <v>#REF!</v>
      </c>
    </row>
    <row r="85" spans="1:9">
      <c r="A85" s="86" t="str">
        <f t="shared" si="0"/>
        <v>Fruit  &amp; Vegetables Crop Production Details</v>
      </c>
      <c r="B85" s="192"/>
      <c r="C85" s="168"/>
      <c r="D85" s="168"/>
      <c r="E85" s="168"/>
      <c r="F85" s="168"/>
      <c r="G85" s="168"/>
      <c r="H85" s="168"/>
      <c r="I85" s="168"/>
    </row>
    <row r="86" spans="1:9">
      <c r="A86" s="84">
        <f t="shared" si="0"/>
        <v>0</v>
      </c>
      <c r="B86" s="192"/>
      <c r="C86" s="168">
        <f t="shared" ref="C86:I86" si="20">$B86*C33</f>
        <v>0</v>
      </c>
      <c r="D86" s="168">
        <f t="shared" si="20"/>
        <v>0</v>
      </c>
      <c r="E86" s="168">
        <f t="shared" si="20"/>
        <v>0</v>
      </c>
      <c r="F86" s="168">
        <f t="shared" si="20"/>
        <v>0</v>
      </c>
      <c r="G86" s="168">
        <f t="shared" si="20"/>
        <v>0</v>
      </c>
      <c r="H86" s="168">
        <f t="shared" si="20"/>
        <v>0</v>
      </c>
      <c r="I86" s="168">
        <f t="shared" si="20"/>
        <v>0</v>
      </c>
    </row>
    <row r="87" spans="1:9">
      <c r="A87" s="84" t="e">
        <f t="shared" si="0"/>
        <v>#REF!</v>
      </c>
      <c r="B87" s="192"/>
      <c r="C87" s="168" t="e">
        <f t="shared" ref="C87:I87" si="21">$B87*C34</f>
        <v>#REF!</v>
      </c>
      <c r="D87" s="168" t="e">
        <f t="shared" si="21"/>
        <v>#REF!</v>
      </c>
      <c r="E87" s="168" t="e">
        <f t="shared" si="21"/>
        <v>#REF!</v>
      </c>
      <c r="F87" s="168" t="e">
        <f t="shared" si="21"/>
        <v>#REF!</v>
      </c>
      <c r="G87" s="168" t="e">
        <f t="shared" si="21"/>
        <v>#REF!</v>
      </c>
      <c r="H87" s="168" t="e">
        <f t="shared" si="21"/>
        <v>#REF!</v>
      </c>
      <c r="I87" s="168" t="e">
        <f t="shared" si="21"/>
        <v>#REF!</v>
      </c>
    </row>
    <row r="88" spans="1:9">
      <c r="A88" s="84" t="e">
        <f t="shared" si="0"/>
        <v>#REF!</v>
      </c>
      <c r="B88" s="192"/>
      <c r="C88" s="168" t="e">
        <f t="shared" ref="C88:I88" si="22">$B88*C35</f>
        <v>#REF!</v>
      </c>
      <c r="D88" s="168" t="e">
        <f t="shared" si="22"/>
        <v>#REF!</v>
      </c>
      <c r="E88" s="168" t="e">
        <f t="shared" si="22"/>
        <v>#REF!</v>
      </c>
      <c r="F88" s="168" t="e">
        <f t="shared" si="22"/>
        <v>#REF!</v>
      </c>
      <c r="G88" s="168" t="e">
        <f t="shared" si="22"/>
        <v>#REF!</v>
      </c>
      <c r="H88" s="168" t="e">
        <f t="shared" si="22"/>
        <v>#REF!</v>
      </c>
      <c r="I88" s="168" t="e">
        <f t="shared" si="22"/>
        <v>#REF!</v>
      </c>
    </row>
    <row r="89" spans="1:9">
      <c r="A89" s="84" t="str">
        <f t="shared" si="0"/>
        <v>Chilli</v>
      </c>
      <c r="B89" s="192"/>
      <c r="C89" s="168">
        <f t="shared" ref="C89:I89" si="23">$B89*C36</f>
        <v>0</v>
      </c>
      <c r="D89" s="168">
        <f t="shared" si="23"/>
        <v>0</v>
      </c>
      <c r="E89" s="168">
        <f t="shared" si="23"/>
        <v>0</v>
      </c>
      <c r="F89" s="168">
        <f t="shared" si="23"/>
        <v>0</v>
      </c>
      <c r="G89" s="168">
        <f t="shared" si="23"/>
        <v>0</v>
      </c>
      <c r="H89" s="168">
        <f t="shared" si="23"/>
        <v>0</v>
      </c>
      <c r="I89" s="168">
        <f t="shared" si="23"/>
        <v>0</v>
      </c>
    </row>
    <row r="90" spans="1:9">
      <c r="A90" s="84" t="e">
        <f t="shared" si="0"/>
        <v>#REF!</v>
      </c>
      <c r="B90" s="192"/>
      <c r="C90" s="168" t="e">
        <f t="shared" ref="C90:I90" si="24">$B90*C37</f>
        <v>#REF!</v>
      </c>
      <c r="D90" s="168" t="e">
        <f t="shared" si="24"/>
        <v>#REF!</v>
      </c>
      <c r="E90" s="168" t="e">
        <f t="shared" si="24"/>
        <v>#REF!</v>
      </c>
      <c r="F90" s="168" t="e">
        <f t="shared" si="24"/>
        <v>#REF!</v>
      </c>
      <c r="G90" s="168" t="e">
        <f t="shared" si="24"/>
        <v>#REF!</v>
      </c>
      <c r="H90" s="168" t="e">
        <f t="shared" si="24"/>
        <v>#REF!</v>
      </c>
      <c r="I90" s="168" t="e">
        <f t="shared" si="24"/>
        <v>#REF!</v>
      </c>
    </row>
    <row r="91" spans="1:9">
      <c r="A91" s="84" t="e">
        <f t="shared" si="0"/>
        <v>#REF!</v>
      </c>
      <c r="B91" s="192"/>
      <c r="C91" s="168" t="e">
        <f t="shared" ref="C91:I91" si="25">$B91*C38</f>
        <v>#REF!</v>
      </c>
      <c r="D91" s="168" t="e">
        <f t="shared" si="25"/>
        <v>#REF!</v>
      </c>
      <c r="E91" s="168" t="e">
        <f t="shared" si="25"/>
        <v>#REF!</v>
      </c>
      <c r="F91" s="168" t="e">
        <f t="shared" si="25"/>
        <v>#REF!</v>
      </c>
      <c r="G91" s="168" t="e">
        <f t="shared" si="25"/>
        <v>#REF!</v>
      </c>
      <c r="H91" s="168" t="e">
        <f t="shared" si="25"/>
        <v>#REF!</v>
      </c>
      <c r="I91" s="168" t="e">
        <f t="shared" si="25"/>
        <v>#REF!</v>
      </c>
    </row>
    <row r="92" spans="1:9">
      <c r="A92" s="84" t="e">
        <f t="shared" si="0"/>
        <v>#REF!</v>
      </c>
      <c r="B92" s="192"/>
      <c r="C92" s="168" t="e">
        <f t="shared" ref="C92:I92" si="26">$B92*C39</f>
        <v>#REF!</v>
      </c>
      <c r="D92" s="168" t="e">
        <f t="shared" si="26"/>
        <v>#REF!</v>
      </c>
      <c r="E92" s="168" t="e">
        <f t="shared" si="26"/>
        <v>#REF!</v>
      </c>
      <c r="F92" s="168" t="e">
        <f t="shared" si="26"/>
        <v>#REF!</v>
      </c>
      <c r="G92" s="168" t="e">
        <f t="shared" si="26"/>
        <v>#REF!</v>
      </c>
      <c r="H92" s="168" t="e">
        <f t="shared" si="26"/>
        <v>#REF!</v>
      </c>
      <c r="I92" s="168" t="e">
        <f t="shared" si="26"/>
        <v>#REF!</v>
      </c>
    </row>
    <row r="93" spans="1:9">
      <c r="A93" s="84" t="e">
        <f t="shared" ref="A93:A110" si="27">A40</f>
        <v>#REF!</v>
      </c>
      <c r="B93" s="192"/>
      <c r="C93" s="168" t="e">
        <f t="shared" ref="C93:I93" si="28">$B93*C40</f>
        <v>#REF!</v>
      </c>
      <c r="D93" s="168" t="e">
        <f t="shared" si="28"/>
        <v>#REF!</v>
      </c>
      <c r="E93" s="168" t="e">
        <f t="shared" si="28"/>
        <v>#REF!</v>
      </c>
      <c r="F93" s="168" t="e">
        <f t="shared" si="28"/>
        <v>#REF!</v>
      </c>
      <c r="G93" s="168" t="e">
        <f t="shared" si="28"/>
        <v>#REF!</v>
      </c>
      <c r="H93" s="168" t="e">
        <f t="shared" si="28"/>
        <v>#REF!</v>
      </c>
      <c r="I93" s="168" t="e">
        <f t="shared" si="28"/>
        <v>#REF!</v>
      </c>
    </row>
    <row r="94" spans="1:9">
      <c r="A94" s="84" t="e">
        <f t="shared" si="27"/>
        <v>#REF!</v>
      </c>
      <c r="B94" s="192"/>
      <c r="C94" s="168" t="e">
        <f t="shared" ref="C94:I94" si="29">$B94*C41</f>
        <v>#REF!</v>
      </c>
      <c r="D94" s="168" t="e">
        <f t="shared" si="29"/>
        <v>#REF!</v>
      </c>
      <c r="E94" s="168" t="e">
        <f t="shared" si="29"/>
        <v>#REF!</v>
      </c>
      <c r="F94" s="168" t="e">
        <f t="shared" si="29"/>
        <v>#REF!</v>
      </c>
      <c r="G94" s="168" t="e">
        <f t="shared" si="29"/>
        <v>#REF!</v>
      </c>
      <c r="H94" s="168" t="e">
        <f t="shared" si="29"/>
        <v>#REF!</v>
      </c>
      <c r="I94" s="168" t="e">
        <f t="shared" si="29"/>
        <v>#REF!</v>
      </c>
    </row>
    <row r="95" spans="1:9">
      <c r="A95" s="84" t="e">
        <f t="shared" si="27"/>
        <v>#REF!</v>
      </c>
      <c r="B95" s="192"/>
      <c r="C95" s="168" t="e">
        <f t="shared" ref="C95:I95" si="30">$B95*C42</f>
        <v>#REF!</v>
      </c>
      <c r="D95" s="168" t="e">
        <f t="shared" si="30"/>
        <v>#REF!</v>
      </c>
      <c r="E95" s="168" t="e">
        <f t="shared" si="30"/>
        <v>#REF!</v>
      </c>
      <c r="F95" s="168" t="e">
        <f t="shared" si="30"/>
        <v>#REF!</v>
      </c>
      <c r="G95" s="168" t="e">
        <f t="shared" si="30"/>
        <v>#REF!</v>
      </c>
      <c r="H95" s="168" t="e">
        <f t="shared" si="30"/>
        <v>#REF!</v>
      </c>
      <c r="I95" s="168" t="e">
        <f t="shared" si="30"/>
        <v>#REF!</v>
      </c>
    </row>
    <row r="96" spans="1:9">
      <c r="A96" s="84" t="e">
        <f t="shared" si="27"/>
        <v>#REF!</v>
      </c>
      <c r="B96" s="192"/>
      <c r="C96" s="168" t="e">
        <f t="shared" ref="C96:I96" si="31">$B96*C43</f>
        <v>#REF!</v>
      </c>
      <c r="D96" s="168" t="e">
        <f t="shared" si="31"/>
        <v>#REF!</v>
      </c>
      <c r="E96" s="168" t="e">
        <f t="shared" si="31"/>
        <v>#REF!</v>
      </c>
      <c r="F96" s="168" t="e">
        <f t="shared" si="31"/>
        <v>#REF!</v>
      </c>
      <c r="G96" s="168" t="e">
        <f t="shared" si="31"/>
        <v>#REF!</v>
      </c>
      <c r="H96" s="168" t="e">
        <f t="shared" si="31"/>
        <v>#REF!</v>
      </c>
      <c r="I96" s="168" t="e">
        <f t="shared" si="31"/>
        <v>#REF!</v>
      </c>
    </row>
    <row r="97" spans="1:9">
      <c r="A97" s="84" t="e">
        <f t="shared" si="27"/>
        <v>#REF!</v>
      </c>
      <c r="B97" s="192"/>
      <c r="C97" s="168" t="e">
        <f t="shared" ref="C97:I97" si="32">$B97*C44</f>
        <v>#REF!</v>
      </c>
      <c r="D97" s="168" t="e">
        <f t="shared" si="32"/>
        <v>#REF!</v>
      </c>
      <c r="E97" s="168" t="e">
        <f t="shared" si="32"/>
        <v>#REF!</v>
      </c>
      <c r="F97" s="168" t="e">
        <f t="shared" si="32"/>
        <v>#REF!</v>
      </c>
      <c r="G97" s="168" t="e">
        <f t="shared" si="32"/>
        <v>#REF!</v>
      </c>
      <c r="H97" s="168" t="e">
        <f t="shared" si="32"/>
        <v>#REF!</v>
      </c>
      <c r="I97" s="168" t="e">
        <f t="shared" si="32"/>
        <v>#REF!</v>
      </c>
    </row>
    <row r="98" spans="1:9">
      <c r="A98" s="84" t="e">
        <f t="shared" si="27"/>
        <v>#REF!</v>
      </c>
      <c r="B98" s="192"/>
      <c r="C98" s="168" t="e">
        <f t="shared" ref="C98:I98" si="33">$B98*C45</f>
        <v>#REF!</v>
      </c>
      <c r="D98" s="168" t="e">
        <f t="shared" si="33"/>
        <v>#REF!</v>
      </c>
      <c r="E98" s="168" t="e">
        <f t="shared" si="33"/>
        <v>#REF!</v>
      </c>
      <c r="F98" s="168" t="e">
        <f t="shared" si="33"/>
        <v>#REF!</v>
      </c>
      <c r="G98" s="168" t="e">
        <f t="shared" si="33"/>
        <v>#REF!</v>
      </c>
      <c r="H98" s="168" t="e">
        <f t="shared" si="33"/>
        <v>#REF!</v>
      </c>
      <c r="I98" s="168" t="e">
        <f t="shared" si="33"/>
        <v>#REF!</v>
      </c>
    </row>
    <row r="99" spans="1:9">
      <c r="A99" s="84" t="e">
        <f t="shared" si="27"/>
        <v>#REF!</v>
      </c>
      <c r="B99" s="192"/>
      <c r="C99" s="168" t="e">
        <f t="shared" ref="C99:I99" si="34">$B99*C46</f>
        <v>#REF!</v>
      </c>
      <c r="D99" s="168" t="e">
        <f t="shared" si="34"/>
        <v>#REF!</v>
      </c>
      <c r="E99" s="168" t="e">
        <f t="shared" si="34"/>
        <v>#REF!</v>
      </c>
      <c r="F99" s="168" t="e">
        <f t="shared" si="34"/>
        <v>#REF!</v>
      </c>
      <c r="G99" s="168" t="e">
        <f t="shared" si="34"/>
        <v>#REF!</v>
      </c>
      <c r="H99" s="168" t="e">
        <f t="shared" si="34"/>
        <v>#REF!</v>
      </c>
      <c r="I99" s="168" t="e">
        <f t="shared" si="34"/>
        <v>#REF!</v>
      </c>
    </row>
    <row r="100" spans="1:9">
      <c r="A100" s="84" t="e">
        <f t="shared" si="27"/>
        <v>#REF!</v>
      </c>
      <c r="B100" s="192"/>
      <c r="C100" s="168" t="e">
        <f t="shared" ref="C100:I100" si="35">$B100*C47</f>
        <v>#REF!</v>
      </c>
      <c r="D100" s="168" t="e">
        <f t="shared" si="35"/>
        <v>#REF!</v>
      </c>
      <c r="E100" s="168" t="e">
        <f t="shared" si="35"/>
        <v>#REF!</v>
      </c>
      <c r="F100" s="168" t="e">
        <f t="shared" si="35"/>
        <v>#REF!</v>
      </c>
      <c r="G100" s="168" t="e">
        <f t="shared" si="35"/>
        <v>#REF!</v>
      </c>
      <c r="H100" s="168" t="e">
        <f t="shared" si="35"/>
        <v>#REF!</v>
      </c>
      <c r="I100" s="168" t="e">
        <f t="shared" si="35"/>
        <v>#REF!</v>
      </c>
    </row>
    <row r="101" spans="1:9">
      <c r="A101" s="84" t="e">
        <f t="shared" si="27"/>
        <v>#REF!</v>
      </c>
      <c r="B101" s="192"/>
      <c r="C101" s="168" t="e">
        <f t="shared" ref="C101:I101" si="36">$B101*C48</f>
        <v>#REF!</v>
      </c>
      <c r="D101" s="168" t="e">
        <f t="shared" si="36"/>
        <v>#REF!</v>
      </c>
      <c r="E101" s="168" t="e">
        <f t="shared" si="36"/>
        <v>#REF!</v>
      </c>
      <c r="F101" s="168" t="e">
        <f t="shared" si="36"/>
        <v>#REF!</v>
      </c>
      <c r="G101" s="168" t="e">
        <f t="shared" si="36"/>
        <v>#REF!</v>
      </c>
      <c r="H101" s="168" t="e">
        <f t="shared" si="36"/>
        <v>#REF!</v>
      </c>
      <c r="I101" s="168" t="e">
        <f t="shared" si="36"/>
        <v>#REF!</v>
      </c>
    </row>
    <row r="102" spans="1:9">
      <c r="A102" s="84" t="e">
        <f t="shared" si="27"/>
        <v>#REF!</v>
      </c>
      <c r="B102" s="192"/>
      <c r="C102" s="168" t="e">
        <f t="shared" ref="C102:I102" si="37">$B102*C49</f>
        <v>#REF!</v>
      </c>
      <c r="D102" s="168" t="e">
        <f t="shared" si="37"/>
        <v>#REF!</v>
      </c>
      <c r="E102" s="168" t="e">
        <f t="shared" si="37"/>
        <v>#REF!</v>
      </c>
      <c r="F102" s="168" t="e">
        <f t="shared" si="37"/>
        <v>#REF!</v>
      </c>
      <c r="G102" s="168" t="e">
        <f t="shared" si="37"/>
        <v>#REF!</v>
      </c>
      <c r="H102" s="168" t="e">
        <f t="shared" si="37"/>
        <v>#REF!</v>
      </c>
      <c r="I102" s="168" t="e">
        <f t="shared" si="37"/>
        <v>#REF!</v>
      </c>
    </row>
    <row r="103" spans="1:9">
      <c r="A103" s="84" t="e">
        <f t="shared" si="27"/>
        <v>#REF!</v>
      </c>
      <c r="B103" s="192"/>
      <c r="C103" s="168" t="e">
        <f t="shared" ref="C103:I103" si="38">$B103*C50</f>
        <v>#REF!</v>
      </c>
      <c r="D103" s="168" t="e">
        <f t="shared" si="38"/>
        <v>#REF!</v>
      </c>
      <c r="E103" s="168" t="e">
        <f t="shared" si="38"/>
        <v>#REF!</v>
      </c>
      <c r="F103" s="168" t="e">
        <f t="shared" si="38"/>
        <v>#REF!</v>
      </c>
      <c r="G103" s="168" t="e">
        <f t="shared" si="38"/>
        <v>#REF!</v>
      </c>
      <c r="H103" s="168" t="e">
        <f t="shared" si="38"/>
        <v>#REF!</v>
      </c>
      <c r="I103" s="168" t="e">
        <f t="shared" si="38"/>
        <v>#REF!</v>
      </c>
    </row>
    <row r="104" spans="1:9">
      <c r="A104" s="84" t="e">
        <f t="shared" si="27"/>
        <v>#REF!</v>
      </c>
      <c r="B104" s="192"/>
      <c r="C104" s="168" t="e">
        <f t="shared" ref="C104:I104" si="39">$B104*C51</f>
        <v>#REF!</v>
      </c>
      <c r="D104" s="168" t="e">
        <f t="shared" si="39"/>
        <v>#REF!</v>
      </c>
      <c r="E104" s="168" t="e">
        <f t="shared" si="39"/>
        <v>#REF!</v>
      </c>
      <c r="F104" s="168" t="e">
        <f t="shared" si="39"/>
        <v>#REF!</v>
      </c>
      <c r="G104" s="168" t="e">
        <f t="shared" si="39"/>
        <v>#REF!</v>
      </c>
      <c r="H104" s="168" t="e">
        <f t="shared" si="39"/>
        <v>#REF!</v>
      </c>
      <c r="I104" s="168" t="e">
        <f t="shared" si="39"/>
        <v>#REF!</v>
      </c>
    </row>
    <row r="105" spans="1:9">
      <c r="A105" s="84" t="e">
        <f t="shared" si="27"/>
        <v>#REF!</v>
      </c>
      <c r="B105" s="192"/>
      <c r="C105" s="168" t="e">
        <f t="shared" ref="C105:I105" si="40">$B105*C52</f>
        <v>#REF!</v>
      </c>
      <c r="D105" s="168" t="e">
        <f t="shared" si="40"/>
        <v>#REF!</v>
      </c>
      <c r="E105" s="168" t="e">
        <f t="shared" si="40"/>
        <v>#REF!</v>
      </c>
      <c r="F105" s="168" t="e">
        <f t="shared" si="40"/>
        <v>#REF!</v>
      </c>
      <c r="G105" s="168" t="e">
        <f t="shared" si="40"/>
        <v>#REF!</v>
      </c>
      <c r="H105" s="168" t="e">
        <f t="shared" si="40"/>
        <v>#REF!</v>
      </c>
      <c r="I105" s="168" t="e">
        <f t="shared" si="40"/>
        <v>#REF!</v>
      </c>
    </row>
    <row r="106" spans="1:9">
      <c r="A106" s="84" t="e">
        <f t="shared" si="27"/>
        <v>#REF!</v>
      </c>
      <c r="B106" s="192"/>
      <c r="C106" s="168" t="e">
        <f t="shared" ref="C106:I106" si="41">$B106*C53</f>
        <v>#REF!</v>
      </c>
      <c r="D106" s="168" t="e">
        <f t="shared" si="41"/>
        <v>#REF!</v>
      </c>
      <c r="E106" s="168" t="e">
        <f t="shared" si="41"/>
        <v>#REF!</v>
      </c>
      <c r="F106" s="168" t="e">
        <f t="shared" si="41"/>
        <v>#REF!</v>
      </c>
      <c r="G106" s="168" t="e">
        <f t="shared" si="41"/>
        <v>#REF!</v>
      </c>
      <c r="H106" s="168" t="e">
        <f t="shared" si="41"/>
        <v>#REF!</v>
      </c>
      <c r="I106" s="168" t="e">
        <f t="shared" si="41"/>
        <v>#REF!</v>
      </c>
    </row>
    <row r="107" spans="1:9">
      <c r="A107" s="84" t="e">
        <f t="shared" si="27"/>
        <v>#REF!</v>
      </c>
      <c r="B107" s="192"/>
      <c r="C107" s="168" t="e">
        <f t="shared" ref="C107:I107" si="42">$B107*C54</f>
        <v>#REF!</v>
      </c>
      <c r="D107" s="168" t="e">
        <f t="shared" si="42"/>
        <v>#REF!</v>
      </c>
      <c r="E107" s="168" t="e">
        <f t="shared" si="42"/>
        <v>#REF!</v>
      </c>
      <c r="F107" s="168" t="e">
        <f t="shared" si="42"/>
        <v>#REF!</v>
      </c>
      <c r="G107" s="168" t="e">
        <f t="shared" si="42"/>
        <v>#REF!</v>
      </c>
      <c r="H107" s="168" t="e">
        <f t="shared" si="42"/>
        <v>#REF!</v>
      </c>
      <c r="I107" s="168" t="e">
        <f t="shared" si="42"/>
        <v>#REF!</v>
      </c>
    </row>
    <row r="108" spans="1:9">
      <c r="A108" s="84" t="e">
        <f t="shared" si="27"/>
        <v>#REF!</v>
      </c>
      <c r="B108" s="192"/>
      <c r="C108" s="168" t="e">
        <f t="shared" ref="C108:I108" si="43">$B108*C55</f>
        <v>#REF!</v>
      </c>
      <c r="D108" s="168" t="e">
        <f t="shared" si="43"/>
        <v>#REF!</v>
      </c>
      <c r="E108" s="168" t="e">
        <f t="shared" si="43"/>
        <v>#REF!</v>
      </c>
      <c r="F108" s="168" t="e">
        <f t="shared" si="43"/>
        <v>#REF!</v>
      </c>
      <c r="G108" s="168" t="e">
        <f t="shared" si="43"/>
        <v>#REF!</v>
      </c>
      <c r="H108" s="168" t="e">
        <f t="shared" si="43"/>
        <v>#REF!</v>
      </c>
      <c r="I108" s="168" t="e">
        <f t="shared" si="43"/>
        <v>#REF!</v>
      </c>
    </row>
    <row r="109" spans="1:9">
      <c r="A109" s="84" t="e">
        <f t="shared" si="27"/>
        <v>#REF!</v>
      </c>
      <c r="B109" s="192"/>
      <c r="C109" s="168" t="e">
        <f t="shared" ref="C109:I109" si="44">$B109*C56</f>
        <v>#REF!</v>
      </c>
      <c r="D109" s="168" t="e">
        <f t="shared" si="44"/>
        <v>#REF!</v>
      </c>
      <c r="E109" s="168" t="e">
        <f t="shared" si="44"/>
        <v>#REF!</v>
      </c>
      <c r="F109" s="168" t="e">
        <f t="shared" si="44"/>
        <v>#REF!</v>
      </c>
      <c r="G109" s="168" t="e">
        <f t="shared" si="44"/>
        <v>#REF!</v>
      </c>
      <c r="H109" s="168" t="e">
        <f t="shared" si="44"/>
        <v>#REF!</v>
      </c>
      <c r="I109" s="168" t="e">
        <f t="shared" si="44"/>
        <v>#REF!</v>
      </c>
    </row>
    <row r="110" spans="1:9">
      <c r="A110" s="84" t="e">
        <f t="shared" si="27"/>
        <v>#REF!</v>
      </c>
      <c r="B110" s="192"/>
      <c r="C110" s="168" t="e">
        <f t="shared" ref="C110:I110" si="45">$B110*C57</f>
        <v>#REF!</v>
      </c>
      <c r="D110" s="168" t="e">
        <f t="shared" si="45"/>
        <v>#REF!</v>
      </c>
      <c r="E110" s="168" t="e">
        <f t="shared" si="45"/>
        <v>#REF!</v>
      </c>
      <c r="F110" s="168" t="e">
        <f t="shared" si="45"/>
        <v>#REF!</v>
      </c>
      <c r="G110" s="168" t="e">
        <f t="shared" si="45"/>
        <v>#REF!</v>
      </c>
      <c r="H110" s="168" t="e">
        <f t="shared" si="45"/>
        <v>#REF!</v>
      </c>
      <c r="I110" s="168" t="e">
        <f t="shared" si="45"/>
        <v>#REF!</v>
      </c>
    </row>
    <row r="111" spans="1:9">
      <c r="A111" s="84"/>
      <c r="B111" s="192"/>
      <c r="C111" s="168"/>
      <c r="D111" s="168"/>
      <c r="E111" s="168"/>
      <c r="F111" s="168"/>
      <c r="G111" s="168"/>
      <c r="H111" s="168"/>
      <c r="I111" s="168"/>
    </row>
    <row r="112" spans="1:9">
      <c r="A112" s="84"/>
      <c r="B112" s="192"/>
      <c r="C112" s="168"/>
      <c r="D112" s="168"/>
      <c r="E112" s="168"/>
      <c r="F112" s="168"/>
      <c r="G112" s="168"/>
      <c r="H112" s="168"/>
      <c r="I112" s="168"/>
    </row>
    <row r="113" spans="1:23">
      <c r="A113" s="86" t="s">
        <v>179</v>
      </c>
      <c r="B113" s="84"/>
      <c r="C113" s="84"/>
      <c r="D113" s="84"/>
      <c r="E113" s="84"/>
      <c r="F113" s="84"/>
      <c r="G113" s="84"/>
      <c r="H113" s="84"/>
      <c r="I113" s="84"/>
    </row>
    <row r="114" spans="1:23">
      <c r="A114" s="84" t="s">
        <v>386</v>
      </c>
      <c r="B114" s="192">
        <v>100</v>
      </c>
      <c r="C114" s="168" t="e">
        <f>SUM(C62:C110)*$B$114</f>
        <v>#REF!</v>
      </c>
      <c r="D114" s="168" t="e">
        <f t="shared" ref="D114:I114" si="46">SUM(D62:D110)*$B$114</f>
        <v>#REF!</v>
      </c>
      <c r="E114" s="168" t="e">
        <f t="shared" si="46"/>
        <v>#REF!</v>
      </c>
      <c r="F114" s="168" t="e">
        <f t="shared" si="46"/>
        <v>#REF!</v>
      </c>
      <c r="G114" s="168" t="e">
        <f t="shared" si="46"/>
        <v>#REF!</v>
      </c>
      <c r="H114" s="168" t="e">
        <f t="shared" si="46"/>
        <v>#REF!</v>
      </c>
      <c r="I114" s="168" t="e">
        <f t="shared" si="46"/>
        <v>#REF!</v>
      </c>
    </row>
    <row r="115" spans="1:23">
      <c r="A115" s="84" t="s">
        <v>173</v>
      </c>
      <c r="B115" s="192">
        <v>30</v>
      </c>
      <c r="C115" s="168" t="e">
        <f>SUM(C62:C110)*$B$115</f>
        <v>#REF!</v>
      </c>
      <c r="D115" s="168" t="e">
        <f t="shared" ref="D115:I115" si="47">SUM(D62:D110)*$B$115</f>
        <v>#REF!</v>
      </c>
      <c r="E115" s="168" t="e">
        <f t="shared" si="47"/>
        <v>#REF!</v>
      </c>
      <c r="F115" s="168" t="e">
        <f t="shared" si="47"/>
        <v>#REF!</v>
      </c>
      <c r="G115" s="168" t="e">
        <f t="shared" si="47"/>
        <v>#REF!</v>
      </c>
      <c r="H115" s="168" t="e">
        <f t="shared" si="47"/>
        <v>#REF!</v>
      </c>
      <c r="I115" s="168" t="e">
        <f t="shared" si="47"/>
        <v>#REF!</v>
      </c>
    </row>
    <row r="116" spans="1:23">
      <c r="A116" s="84" t="s">
        <v>175</v>
      </c>
      <c r="B116" s="192">
        <v>30</v>
      </c>
      <c r="C116" s="168" t="e">
        <f>SUM(C62:C110)*$B$116</f>
        <v>#REF!</v>
      </c>
      <c r="D116" s="168" t="e">
        <f t="shared" ref="D116:I116" si="48">SUM(D62:D110)*$B$116</f>
        <v>#REF!</v>
      </c>
      <c r="E116" s="168" t="e">
        <f t="shared" si="48"/>
        <v>#REF!</v>
      </c>
      <c r="F116" s="168" t="e">
        <f t="shared" si="48"/>
        <v>#REF!</v>
      </c>
      <c r="G116" s="168" t="e">
        <f t="shared" si="48"/>
        <v>#REF!</v>
      </c>
      <c r="H116" s="168" t="e">
        <f t="shared" si="48"/>
        <v>#REF!</v>
      </c>
      <c r="I116" s="168" t="e">
        <f t="shared" si="48"/>
        <v>#REF!</v>
      </c>
    </row>
    <row r="117" spans="1:23">
      <c r="A117" s="86" t="s">
        <v>174</v>
      </c>
      <c r="B117" s="192"/>
      <c r="C117" s="84"/>
      <c r="D117" s="84"/>
      <c r="E117" s="84"/>
      <c r="F117" s="84"/>
      <c r="G117" s="84"/>
      <c r="H117" s="84"/>
      <c r="I117" s="84"/>
    </row>
    <row r="118" spans="1:23">
      <c r="A118" s="84" t="s">
        <v>180</v>
      </c>
      <c r="B118" s="192">
        <v>0.2</v>
      </c>
      <c r="C118" s="168" t="e">
        <f>SUM(C62:C110)*$B$118</f>
        <v>#REF!</v>
      </c>
      <c r="D118" s="168" t="e">
        <f t="shared" ref="D118:I118" si="49">SUM(D62:D110)*$B$118</f>
        <v>#REF!</v>
      </c>
      <c r="E118" s="168" t="e">
        <f t="shared" si="49"/>
        <v>#REF!</v>
      </c>
      <c r="F118" s="168" t="e">
        <f t="shared" si="49"/>
        <v>#REF!</v>
      </c>
      <c r="G118" s="168" t="e">
        <f t="shared" si="49"/>
        <v>#REF!</v>
      </c>
      <c r="H118" s="168" t="e">
        <f t="shared" si="49"/>
        <v>#REF!</v>
      </c>
      <c r="I118" s="168" t="e">
        <f t="shared" si="49"/>
        <v>#REF!</v>
      </c>
    </row>
    <row r="119" spans="1:23">
      <c r="A119" s="84" t="s">
        <v>181</v>
      </c>
      <c r="B119" s="192">
        <v>0.5</v>
      </c>
      <c r="C119" s="168" t="e">
        <f>SUM(C62:C110)*$B$119</f>
        <v>#REF!</v>
      </c>
      <c r="D119" s="168" t="e">
        <f t="shared" ref="D119:I119" si="50">SUM(D62:D110)*$B$119</f>
        <v>#REF!</v>
      </c>
      <c r="E119" s="168" t="e">
        <f t="shared" si="50"/>
        <v>#REF!</v>
      </c>
      <c r="F119" s="168" t="e">
        <f t="shared" si="50"/>
        <v>#REF!</v>
      </c>
      <c r="G119" s="168" t="e">
        <f t="shared" si="50"/>
        <v>#REF!</v>
      </c>
      <c r="H119" s="168" t="e">
        <f t="shared" si="50"/>
        <v>#REF!</v>
      </c>
      <c r="I119" s="168" t="e">
        <f t="shared" si="50"/>
        <v>#REF!</v>
      </c>
    </row>
    <row r="122" spans="1:23" ht="18.75">
      <c r="A122" s="676" t="s">
        <v>532</v>
      </c>
      <c r="B122" s="676"/>
      <c r="C122" s="676"/>
      <c r="D122" s="676"/>
      <c r="E122" s="676"/>
      <c r="F122" s="676"/>
      <c r="G122" s="676"/>
      <c r="H122" s="676"/>
      <c r="I122" s="676"/>
      <c r="J122" s="676"/>
    </row>
    <row r="123" spans="1:23">
      <c r="A123" s="29"/>
      <c r="B123" s="52"/>
      <c r="C123" s="29"/>
      <c r="D123" s="29"/>
      <c r="E123" s="29"/>
      <c r="F123" s="29"/>
      <c r="G123" s="29"/>
      <c r="H123" s="29"/>
    </row>
    <row r="124" spans="1:23">
      <c r="A124" s="154"/>
      <c r="B124" s="154"/>
      <c r="C124" s="154"/>
      <c r="D124" s="155">
        <v>1</v>
      </c>
      <c r="E124" s="156">
        <f>(D124*5%)+D124</f>
        <v>1.05</v>
      </c>
      <c r="F124" s="156">
        <f t="shared" ref="F124:J124" si="51">(E124*5%)+E124</f>
        <v>1.1025</v>
      </c>
      <c r="G124" s="156">
        <f t="shared" si="51"/>
        <v>1.1576250000000001</v>
      </c>
      <c r="H124" s="156">
        <f t="shared" si="51"/>
        <v>1.2155062500000002</v>
      </c>
      <c r="I124" s="156">
        <f t="shared" si="51"/>
        <v>1.2762815625000004</v>
      </c>
      <c r="J124" s="156">
        <f t="shared" si="51"/>
        <v>1.3400956406250004</v>
      </c>
      <c r="K124" s="79"/>
      <c r="U124" s="79"/>
      <c r="V124" s="79"/>
      <c r="W124" s="79"/>
    </row>
    <row r="125" spans="1:23">
      <c r="A125" s="79"/>
      <c r="B125" s="79"/>
      <c r="C125" s="79"/>
      <c r="D125" s="79"/>
      <c r="E125" s="79"/>
      <c r="F125" s="79"/>
      <c r="G125" s="79"/>
      <c r="H125" s="79"/>
      <c r="I125" s="79"/>
      <c r="J125" s="79"/>
      <c r="K125" s="79"/>
      <c r="U125" s="79"/>
      <c r="V125" s="79"/>
      <c r="W125" s="79"/>
    </row>
    <row r="126" spans="1:23">
      <c r="A126" s="122" t="s">
        <v>0</v>
      </c>
      <c r="B126" s="122" t="s">
        <v>128</v>
      </c>
      <c r="C126" s="122" t="s">
        <v>148</v>
      </c>
      <c r="D126" s="102" t="s">
        <v>2</v>
      </c>
      <c r="E126" s="102" t="s">
        <v>3</v>
      </c>
      <c r="F126" s="102" t="s">
        <v>4</v>
      </c>
      <c r="G126" s="102" t="s">
        <v>5</v>
      </c>
      <c r="H126" s="102" t="s">
        <v>6</v>
      </c>
      <c r="I126" s="102" t="s">
        <v>163</v>
      </c>
      <c r="J126" s="102" t="s">
        <v>162</v>
      </c>
      <c r="K126" s="79"/>
      <c r="U126" s="79"/>
      <c r="V126" s="79"/>
      <c r="W126" s="79"/>
    </row>
    <row r="127" spans="1:23">
      <c r="A127" s="82" t="s">
        <v>124</v>
      </c>
      <c r="B127" s="80"/>
      <c r="C127" s="80"/>
      <c r="D127" s="80"/>
      <c r="E127" s="80"/>
      <c r="F127" s="80"/>
      <c r="G127" s="80"/>
      <c r="H127" s="80"/>
      <c r="I127" s="80"/>
      <c r="J127" s="80"/>
      <c r="K127" s="79"/>
      <c r="U127" s="79"/>
      <c r="V127" s="79"/>
      <c r="W127" s="79"/>
    </row>
    <row r="128" spans="1:23">
      <c r="A128" s="80" t="s">
        <v>277</v>
      </c>
      <c r="B128" s="80"/>
      <c r="C128" s="80"/>
      <c r="D128" s="80"/>
      <c r="E128" s="80"/>
      <c r="F128" s="80"/>
      <c r="G128" s="80"/>
      <c r="H128" s="80"/>
      <c r="I128" s="80"/>
      <c r="J128" s="80"/>
      <c r="K128" s="79"/>
      <c r="U128" s="79"/>
      <c r="V128" s="79"/>
      <c r="W128" s="79"/>
    </row>
    <row r="129" spans="1:23">
      <c r="A129" s="82" t="str">
        <f t="shared" ref="A129:A160" si="52">A8</f>
        <v>Kharif Crops</v>
      </c>
      <c r="B129" s="80"/>
      <c r="C129" s="80"/>
      <c r="D129" s="80"/>
      <c r="E129" s="80"/>
      <c r="F129" s="80"/>
      <c r="G129" s="80"/>
      <c r="H129" s="80"/>
      <c r="I129" s="80"/>
      <c r="J129" s="80"/>
      <c r="K129" s="79"/>
      <c r="U129" s="79"/>
      <c r="V129" s="79"/>
      <c r="W129" s="79"/>
    </row>
    <row r="130" spans="1:23">
      <c r="A130" s="80" t="e">
        <f t="shared" si="52"/>
        <v>#REF!</v>
      </c>
      <c r="B130" s="80"/>
      <c r="C130" s="192">
        <v>90</v>
      </c>
      <c r="D130" s="81" t="e">
        <f>(C62*(1-'5.Closing Stock &amp; W Capital'!$D$15))*$C$130*D$124</f>
        <v>#REF!</v>
      </c>
      <c r="E130" s="81" t="e">
        <f>(D62*(1-'5.Closing Stock &amp; W Capital'!$D$15))*$C$130*E$124</f>
        <v>#REF!</v>
      </c>
      <c r="F130" s="81" t="e">
        <f>(E62*(1-'5.Closing Stock &amp; W Capital'!$D$15))*$C$130*F$124</f>
        <v>#REF!</v>
      </c>
      <c r="G130" s="81" t="e">
        <f>(F62*(1-'5.Closing Stock &amp; W Capital'!$D$15))*$C$130*G$124</f>
        <v>#REF!</v>
      </c>
      <c r="H130" s="81" t="e">
        <f>(G62*(1-'5.Closing Stock &amp; W Capital'!$D$15))*$C$130*H$124</f>
        <v>#REF!</v>
      </c>
      <c r="I130" s="81" t="e">
        <f>(H62*(1-'5.Closing Stock &amp; W Capital'!$D$15))*$C$130*I$124</f>
        <v>#REF!</v>
      </c>
      <c r="J130" s="81" t="e">
        <f>(I62*(1-'5.Closing Stock &amp; W Capital'!$D$15))*$C$130*J$124</f>
        <v>#REF!</v>
      </c>
      <c r="K130" s="79"/>
      <c r="U130" s="79"/>
      <c r="V130" s="79"/>
      <c r="W130" s="79"/>
    </row>
    <row r="131" spans="1:23">
      <c r="A131" s="80" t="e">
        <f t="shared" si="52"/>
        <v>#REF!</v>
      </c>
      <c r="B131" s="80"/>
      <c r="C131" s="215">
        <v>80</v>
      </c>
      <c r="D131" s="81" t="e">
        <f>(C63*(1-'5.Closing Stock &amp; W Capital'!$D$15))*$C$131*D$124</f>
        <v>#REF!</v>
      </c>
      <c r="E131" s="81" t="e">
        <f>((D63*(1-'5.Closing Stock &amp; W Capital'!$D$15))+(C63*'5.Closing Stock &amp; W Capital'!$D$15))*$C$131*E$124</f>
        <v>#REF!</v>
      </c>
      <c r="F131" s="81" t="e">
        <f>((E63*(1-'5.Closing Stock &amp; W Capital'!$D$15))+(D63*'5.Closing Stock &amp; W Capital'!$D$15))*$C$131*F$124</f>
        <v>#REF!</v>
      </c>
      <c r="G131" s="81" t="e">
        <f>((F63*(1-'5.Closing Stock &amp; W Capital'!$D$15))+(E63*'5.Closing Stock &amp; W Capital'!$D$15))*$C$131*G124</f>
        <v>#REF!</v>
      </c>
      <c r="H131" s="81" t="e">
        <f>((G63*(1-'5.Closing Stock &amp; W Capital'!$D$15))+(F63*'5.Closing Stock &amp; W Capital'!$D$15))*$C$131*H124</f>
        <v>#REF!</v>
      </c>
      <c r="I131" s="81" t="e">
        <f>((H63*(1-'5.Closing Stock &amp; W Capital'!$D$15))+(G63*'5.Closing Stock &amp; W Capital'!$D$15))*$C$131*I124</f>
        <v>#REF!</v>
      </c>
      <c r="J131" s="81" t="e">
        <f>((I63*(1-'5.Closing Stock &amp; W Capital'!$D$15))+(H63*'5.Closing Stock &amp; W Capital'!$D$15))*$C$131*J124</f>
        <v>#REF!</v>
      </c>
      <c r="K131" s="79"/>
      <c r="U131" s="143"/>
      <c r="V131" s="79"/>
      <c r="W131" s="79"/>
    </row>
    <row r="132" spans="1:23">
      <c r="A132" s="80" t="e">
        <f t="shared" si="52"/>
        <v>#REF!</v>
      </c>
      <c r="B132" s="80"/>
      <c r="C132" s="215">
        <v>65</v>
      </c>
      <c r="D132" s="81" t="e">
        <f>(C64*(1-'5.Closing Stock &amp; W Capital'!$D$15))*$C$132*D$124</f>
        <v>#REF!</v>
      </c>
      <c r="E132" s="81" t="e">
        <f>((D64*(1-'5.Closing Stock &amp; W Capital'!$D$15))+(C64*'5.Closing Stock &amp; W Capital'!$D$15))*$C$132*E$124</f>
        <v>#REF!</v>
      </c>
      <c r="F132" s="81" t="e">
        <f>((E64*(1-'5.Closing Stock &amp; W Capital'!$D$15))+(D64*'5.Closing Stock &amp; W Capital'!$D$15))*$C$132*F$124</f>
        <v>#REF!</v>
      </c>
      <c r="G132" s="81" t="e">
        <f>((F64*(1-'5.Closing Stock &amp; W Capital'!$D$15))+(E64*'5.Closing Stock &amp; W Capital'!$D$15))*$C$132*G124</f>
        <v>#REF!</v>
      </c>
      <c r="H132" s="81" t="e">
        <f>((G64*(1-'5.Closing Stock &amp; W Capital'!$D$15))+(F64*'5.Closing Stock &amp; W Capital'!$D$15))*$C$132*H124</f>
        <v>#REF!</v>
      </c>
      <c r="I132" s="81" t="e">
        <f>((H64*(1-'5.Closing Stock &amp; W Capital'!$D$15))+(G64*'5.Closing Stock &amp; W Capital'!$D$15))*$C$132*I124</f>
        <v>#REF!</v>
      </c>
      <c r="J132" s="81" t="e">
        <f>((I64*(1-'5.Closing Stock &amp; W Capital'!$D$15))+(H64*'5.Closing Stock &amp; W Capital'!$D$15))*$C$132*J124</f>
        <v>#REF!</v>
      </c>
      <c r="K132" s="79"/>
      <c r="U132" s="79"/>
      <c r="V132" s="79"/>
      <c r="W132" s="79"/>
    </row>
    <row r="133" spans="1:23">
      <c r="A133" s="80" t="e">
        <f t="shared" si="52"/>
        <v>#REF!</v>
      </c>
      <c r="B133" s="80"/>
      <c r="C133" s="215">
        <v>85</v>
      </c>
      <c r="D133" s="81" t="e">
        <f>(C65*(1-'5.Closing Stock &amp; W Capital'!$D$15))*$C$133*D$124</f>
        <v>#REF!</v>
      </c>
      <c r="E133" s="81" t="e">
        <f>((D65*(1-'5.Closing Stock &amp; W Capital'!$D$15))+(C65*'5.Closing Stock &amp; W Capital'!$D$15))*$C$133*E$124</f>
        <v>#REF!</v>
      </c>
      <c r="F133" s="81" t="e">
        <f>((E65*(1-'5.Closing Stock &amp; W Capital'!$D$15))+(D65*'5.Closing Stock &amp; W Capital'!$D$15))*$C$133*F$124</f>
        <v>#REF!</v>
      </c>
      <c r="G133" s="81" t="e">
        <f>((F65*(1-'5.Closing Stock &amp; W Capital'!$D$15))+(E65*'5.Closing Stock &amp; W Capital'!$D$15))*$C$133*G$124</f>
        <v>#REF!</v>
      </c>
      <c r="H133" s="81" t="e">
        <f>((G65*(1-'5.Closing Stock &amp; W Capital'!$D$15))+(F65*'5.Closing Stock &amp; W Capital'!$D$15))*$C$133*H$124</f>
        <v>#REF!</v>
      </c>
      <c r="I133" s="81" t="e">
        <f>((H65*(1-'5.Closing Stock &amp; W Capital'!$D$15))+(G65*'5.Closing Stock &amp; W Capital'!$D$15))*$C$133*I$124</f>
        <v>#REF!</v>
      </c>
      <c r="J133" s="81" t="e">
        <f>((I65*(1-'5.Closing Stock &amp; W Capital'!$D$15))+(H65*'5.Closing Stock &amp; W Capital'!$D$15))*$C$133*J$124</f>
        <v>#REF!</v>
      </c>
      <c r="K133" s="79"/>
      <c r="U133" s="79"/>
      <c r="V133" s="79"/>
      <c r="W133" s="79"/>
    </row>
    <row r="134" spans="1:23">
      <c r="A134" s="80" t="e">
        <f t="shared" si="52"/>
        <v>#REF!</v>
      </c>
      <c r="B134" s="80"/>
      <c r="C134" s="215">
        <v>37</v>
      </c>
      <c r="D134" s="81" t="e">
        <f>(C66*(1-'5.Closing Stock &amp; W Capital'!$D$15))*$C$134*D$124</f>
        <v>#REF!</v>
      </c>
      <c r="E134" s="81" t="e">
        <f>((D66*(1-'5.Closing Stock &amp; W Capital'!$D$15))+(C66*'5.Closing Stock &amp; W Capital'!$D$15))*$C$135*E$124</f>
        <v>#REF!</v>
      </c>
      <c r="F134" s="81" t="e">
        <f>((E66*(1-'5.Closing Stock &amp; W Capital'!$D$15))+(D66*'5.Closing Stock &amp; W Capital'!$D$15))*$C$135*F$124</f>
        <v>#REF!</v>
      </c>
      <c r="G134" s="81" t="e">
        <f>((F66*(1-'5.Closing Stock &amp; W Capital'!$D$15))+(E66*'5.Closing Stock &amp; W Capital'!$D$15))*$C$135*G$124</f>
        <v>#REF!</v>
      </c>
      <c r="H134" s="81" t="e">
        <f>((G66*(1-'5.Closing Stock &amp; W Capital'!$D$15))+(F66*'5.Closing Stock &amp; W Capital'!$D$15))*$C$135*H$124</f>
        <v>#REF!</v>
      </c>
      <c r="I134" s="81" t="e">
        <f>((H66*(1-'5.Closing Stock &amp; W Capital'!$D$15))+(G66*'5.Closing Stock &amp; W Capital'!$D$15))*$C$135*I$124</f>
        <v>#REF!</v>
      </c>
      <c r="J134" s="81" t="e">
        <f>((I66*(1-'5.Closing Stock &amp; W Capital'!$D$15))+(H66*'5.Closing Stock &amp; W Capital'!$D$15))*$C$135*J$124</f>
        <v>#REF!</v>
      </c>
      <c r="K134" s="79"/>
      <c r="U134" s="79"/>
      <c r="V134" s="79"/>
      <c r="W134" s="79"/>
    </row>
    <row r="135" spans="1:23">
      <c r="A135" s="80" t="e">
        <f t="shared" si="52"/>
        <v>#REF!</v>
      </c>
      <c r="B135" s="80"/>
      <c r="C135" s="215">
        <v>75</v>
      </c>
      <c r="D135" s="81" t="e">
        <f>(C67*(1-'5.Closing Stock &amp; W Capital'!$D$15))*$C$135*D$124</f>
        <v>#REF!</v>
      </c>
      <c r="E135" s="81" t="e">
        <f>((D67*(1-'5.Closing Stock &amp; W Capital'!$D$15))+(C67*'5.Closing Stock &amp; W Capital'!$D$15))*$C$135*E$124</f>
        <v>#REF!</v>
      </c>
      <c r="F135" s="81" t="e">
        <f>((E67*(1-'5.Closing Stock &amp; W Capital'!$D$15))+(D67*'5.Closing Stock &amp; W Capital'!$D$15))*$C$135*F$124</f>
        <v>#REF!</v>
      </c>
      <c r="G135" s="81" t="e">
        <f>((F67*(1-'5.Closing Stock &amp; W Capital'!$D$15))+(E67*'5.Closing Stock &amp; W Capital'!$D$15))*$C$135*G$124</f>
        <v>#REF!</v>
      </c>
      <c r="H135" s="81" t="e">
        <f>((G67*(1-'5.Closing Stock &amp; W Capital'!$D$15))+(F67*'5.Closing Stock &amp; W Capital'!$D$15))*$C$135*H$124</f>
        <v>#REF!</v>
      </c>
      <c r="I135" s="81" t="e">
        <f>((H67*(1-'5.Closing Stock &amp; W Capital'!$D$15))+(G67*'5.Closing Stock &amp; W Capital'!$D$15))*$C$135*I$124</f>
        <v>#REF!</v>
      </c>
      <c r="J135" s="81" t="e">
        <f>((I67*(1-'5.Closing Stock &amp; W Capital'!$D$15))+(H67*'5.Closing Stock &amp; W Capital'!$D$15))*$C$135*J$124</f>
        <v>#REF!</v>
      </c>
      <c r="K135" s="79"/>
      <c r="U135" s="79"/>
      <c r="V135" s="79"/>
      <c r="W135" s="79"/>
    </row>
    <row r="136" spans="1:23">
      <c r="A136" s="80" t="e">
        <f t="shared" si="52"/>
        <v>#REF!</v>
      </c>
      <c r="B136" s="80"/>
      <c r="C136" s="215">
        <v>30</v>
      </c>
      <c r="D136" s="81" t="e">
        <f>(C68*(1-'5.Closing Stock &amp; W Capital'!$D$15))*$C$136*D$124</f>
        <v>#REF!</v>
      </c>
      <c r="E136" s="81" t="e">
        <f>((D68*(1-'5.Closing Stock &amp; W Capital'!$D$15))+(C68*'5.Closing Stock &amp; W Capital'!$D$15))*$C$136*E$124</f>
        <v>#REF!</v>
      </c>
      <c r="F136" s="81" t="e">
        <f>((E68*(1-'5.Closing Stock &amp; W Capital'!$D$15))+(D68*'5.Closing Stock &amp; W Capital'!$D$15))*$C$136*F$124</f>
        <v>#REF!</v>
      </c>
      <c r="G136" s="81" t="e">
        <f>((F68*(1-'5.Closing Stock &amp; W Capital'!$D$15))+(E68*'5.Closing Stock &amp; W Capital'!$D$15))*$C$136*G$124</f>
        <v>#REF!</v>
      </c>
      <c r="H136" s="81" t="e">
        <f>((G68*(1-'5.Closing Stock &amp; W Capital'!$D$15))+(F68*'5.Closing Stock &amp; W Capital'!$D$15))*$C$136*H$124</f>
        <v>#REF!</v>
      </c>
      <c r="I136" s="81" t="e">
        <f>((H68*(1-'5.Closing Stock &amp; W Capital'!$D$15))+(G68*'5.Closing Stock &amp; W Capital'!$D$15))*$C$136*I$124</f>
        <v>#REF!</v>
      </c>
      <c r="J136" s="81" t="e">
        <f>((I68*(1-'5.Closing Stock &amp; W Capital'!$D$15))+(H68*'5.Closing Stock &amp; W Capital'!$D$15))*$C$136*J$124</f>
        <v>#REF!</v>
      </c>
      <c r="K136" s="79"/>
      <c r="U136" s="79"/>
      <c r="V136" s="79"/>
      <c r="W136" s="79"/>
    </row>
    <row r="137" spans="1:23">
      <c r="A137" s="80" t="e">
        <f t="shared" si="52"/>
        <v>#REF!</v>
      </c>
      <c r="B137" s="80"/>
      <c r="C137" s="215">
        <v>30</v>
      </c>
      <c r="D137" s="81" t="e">
        <f>(C69*(1-'5.Closing Stock &amp; W Capital'!$D$15))*$C$137*D$124</f>
        <v>#REF!</v>
      </c>
      <c r="E137" s="81" t="e">
        <f>((D69*(1-'5.Closing Stock &amp; W Capital'!$D$15))+(C69*'5.Closing Stock &amp; W Capital'!$D$15))*$C$137*E$124</f>
        <v>#REF!</v>
      </c>
      <c r="F137" s="81" t="e">
        <f>((E69*(1-'5.Closing Stock &amp; W Capital'!$D$15))+(D69*'5.Closing Stock &amp; W Capital'!$D$15))*$C$137*F$124</f>
        <v>#REF!</v>
      </c>
      <c r="G137" s="81" t="e">
        <f>((F69*(1-'5.Closing Stock &amp; W Capital'!$D$15))+(E69*'5.Closing Stock &amp; W Capital'!$D$15))*$C$137*G$124</f>
        <v>#REF!</v>
      </c>
      <c r="H137" s="81" t="e">
        <f>((G69*(1-'5.Closing Stock &amp; W Capital'!$D$15))+(F69*'5.Closing Stock &amp; W Capital'!$D$15))*$C$137*H$124</f>
        <v>#REF!</v>
      </c>
      <c r="I137" s="81" t="e">
        <f>((H69*(1-'5.Closing Stock &amp; W Capital'!$D$15))+(G69*'5.Closing Stock &amp; W Capital'!$D$15))*$C$137*I$124</f>
        <v>#REF!</v>
      </c>
      <c r="J137" s="81" t="e">
        <f>((I69*(1-'5.Closing Stock &amp; W Capital'!$D$15))+(H69*'5.Closing Stock &amp; W Capital'!$D$15))*$C$137*J$124</f>
        <v>#REF!</v>
      </c>
      <c r="K137" s="79"/>
      <c r="U137" s="79"/>
      <c r="V137" s="79"/>
      <c r="W137" s="79"/>
    </row>
    <row r="138" spans="1:23">
      <c r="A138" s="82" t="str">
        <f t="shared" si="52"/>
        <v>Rabi Crop</v>
      </c>
      <c r="B138" s="80"/>
      <c r="C138" s="215"/>
      <c r="D138" s="81"/>
      <c r="E138" s="81"/>
      <c r="F138" s="81"/>
      <c r="G138" s="81"/>
      <c r="H138" s="81"/>
      <c r="I138" s="81"/>
      <c r="J138" s="81"/>
      <c r="K138" s="79"/>
      <c r="U138" s="79"/>
      <c r="V138" s="79"/>
      <c r="W138" s="79"/>
    </row>
    <row r="139" spans="1:23">
      <c r="A139" s="80" t="e">
        <f t="shared" si="52"/>
        <v>#REF!</v>
      </c>
      <c r="B139" s="80"/>
      <c r="C139" s="215">
        <v>40</v>
      </c>
      <c r="D139" s="81" t="e">
        <f>(C71*(1-'5.Closing Stock &amp; W Capital'!$D$15))*$C$139*D$124</f>
        <v>#REF!</v>
      </c>
      <c r="E139" s="81" t="e">
        <f>((D71*(1-'5.Closing Stock &amp; W Capital'!$D$15))+(C71*'5.Closing Stock &amp; W Capital'!$D$15))*$C$139*E$124</f>
        <v>#REF!</v>
      </c>
      <c r="F139" s="81" t="e">
        <f>((E71*(1-'5.Closing Stock &amp; W Capital'!$D$15))+(D71*'5.Closing Stock &amp; W Capital'!$D$15))*$C$139*F$124</f>
        <v>#REF!</v>
      </c>
      <c r="G139" s="81" t="e">
        <f>((F71*(1-'5.Closing Stock &amp; W Capital'!$D$15))+(E71*'5.Closing Stock &amp; W Capital'!$D$15))*$C$139*G$124</f>
        <v>#REF!</v>
      </c>
      <c r="H139" s="81" t="e">
        <f>((G71*(1-'5.Closing Stock &amp; W Capital'!$D$15))+(F71*'5.Closing Stock &amp; W Capital'!$D$15))*$C$139*H$124</f>
        <v>#REF!</v>
      </c>
      <c r="I139" s="81" t="e">
        <f>((H71*(1-'5.Closing Stock &amp; W Capital'!$D$15))+(G71*'5.Closing Stock &amp; W Capital'!$D$15))*$C$139*I$124</f>
        <v>#REF!</v>
      </c>
      <c r="J139" s="81" t="e">
        <f>((I71*(1-'5.Closing Stock &amp; W Capital'!$D$15))+(H71*'5.Closing Stock &amp; W Capital'!$D$15))*$C$139*J$124</f>
        <v>#REF!</v>
      </c>
      <c r="K139" s="79"/>
      <c r="U139" s="79"/>
      <c r="V139" s="79"/>
      <c r="W139" s="79"/>
    </row>
    <row r="140" spans="1:23">
      <c r="A140" s="80" t="e">
        <f t="shared" si="52"/>
        <v>#REF!</v>
      </c>
      <c r="B140" s="80"/>
      <c r="C140" s="215">
        <v>75</v>
      </c>
      <c r="D140" s="81" t="e">
        <f>(C72*(1-'5.Closing Stock &amp; W Capital'!$D$15))*$C$140*D$124</f>
        <v>#REF!</v>
      </c>
      <c r="E140" s="81" t="e">
        <f>((D72*(1-'5.Closing Stock &amp; W Capital'!$D$15))+(C72*'5.Closing Stock &amp; W Capital'!$D$15))*$C$140*E$124</f>
        <v>#REF!</v>
      </c>
      <c r="F140" s="81" t="e">
        <f>((E72*(1-'5.Closing Stock &amp; W Capital'!$D$15))+(D72*'5.Closing Stock &amp; W Capital'!$D$15))*$C$140*F$124</f>
        <v>#REF!</v>
      </c>
      <c r="G140" s="81" t="e">
        <f>((F72*(1-'5.Closing Stock &amp; W Capital'!$D$15))+(E72*'5.Closing Stock &amp; W Capital'!$D$15))*$C$140*G$124</f>
        <v>#REF!</v>
      </c>
      <c r="H140" s="81" t="e">
        <f>((G72*(1-'5.Closing Stock &amp; W Capital'!$D$15))+(F72*'5.Closing Stock &amp; W Capital'!$D$15))*$C$140*H$124</f>
        <v>#REF!</v>
      </c>
      <c r="I140" s="81" t="e">
        <f>((H72*(1-'5.Closing Stock &amp; W Capital'!$D$15))+(G72*'5.Closing Stock &amp; W Capital'!$D$15))*$C$140*I$124</f>
        <v>#REF!</v>
      </c>
      <c r="J140" s="81" t="e">
        <f>((I72*(1-'5.Closing Stock &amp; W Capital'!$D$15))+(H72*'5.Closing Stock &amp; W Capital'!$D$15))*$C$140*J$124</f>
        <v>#REF!</v>
      </c>
      <c r="K140" s="79"/>
      <c r="U140" s="79"/>
      <c r="V140" s="79"/>
      <c r="W140" s="79"/>
    </row>
    <row r="141" spans="1:23">
      <c r="A141" s="80" t="e">
        <f t="shared" si="52"/>
        <v>#REF!</v>
      </c>
      <c r="B141" s="80"/>
      <c r="C141" s="215">
        <v>27</v>
      </c>
      <c r="D141" s="81" t="e">
        <f>(C73*(1-'5.Closing Stock &amp; W Capital'!$D$15))*$C$141*D$124</f>
        <v>#REF!</v>
      </c>
      <c r="E141" s="81" t="e">
        <f>((D73*(1-'5.Closing Stock &amp; W Capital'!$D$15))+(C73*'5.Closing Stock &amp; W Capital'!$D$15))*$C$141*E$124</f>
        <v>#REF!</v>
      </c>
      <c r="F141" s="81" t="e">
        <f>((E73*(1-'5.Closing Stock &amp; W Capital'!$D$15))+(D73*'5.Closing Stock &amp; W Capital'!$D$15))*$C$141*F$124</f>
        <v>#REF!</v>
      </c>
      <c r="G141" s="81" t="e">
        <f>((F73*(1-'5.Closing Stock &amp; W Capital'!$D$15))+(E73*'5.Closing Stock &amp; W Capital'!$D$15))*$C$141*G$124</f>
        <v>#REF!</v>
      </c>
      <c r="H141" s="81" t="e">
        <f>((G73*(1-'5.Closing Stock &amp; W Capital'!$D$15))+(F73*'5.Closing Stock &amp; W Capital'!$D$15))*$C$141*H$124</f>
        <v>#REF!</v>
      </c>
      <c r="I141" s="81" t="e">
        <f>((H73*(1-'5.Closing Stock &amp; W Capital'!$D$15))+(G73*'5.Closing Stock &amp; W Capital'!$D$15))*$C$141*I$124</f>
        <v>#REF!</v>
      </c>
      <c r="J141" s="81" t="e">
        <f>((I73*(1-'5.Closing Stock &amp; W Capital'!$D$15))+(H73*'5.Closing Stock &amp; W Capital'!$D$15))*$C$141*J$124</f>
        <v>#REF!</v>
      </c>
      <c r="K141" s="79"/>
      <c r="U141" s="79"/>
      <c r="V141" s="79"/>
      <c r="W141" s="79"/>
    </row>
    <row r="142" spans="1:23">
      <c r="A142" s="80" t="e">
        <f t="shared" si="52"/>
        <v>#REF!</v>
      </c>
      <c r="B142" s="80"/>
      <c r="C142" s="215">
        <v>27</v>
      </c>
      <c r="D142" s="81" t="e">
        <f>(C74*(1-'5.Closing Stock &amp; W Capital'!$D$15))*$C$142*D$124</f>
        <v>#REF!</v>
      </c>
      <c r="E142" s="81" t="e">
        <f>((D74*(1-'5.Closing Stock &amp; W Capital'!$D$15))+(C74*'5.Closing Stock &amp; W Capital'!$D$15))*$C$142*E$124</f>
        <v>#REF!</v>
      </c>
      <c r="F142" s="81" t="e">
        <f>((E74*(1-'5.Closing Stock &amp; W Capital'!$D$15))+(D74*'5.Closing Stock &amp; W Capital'!$D$15))*$C$142*F$124</f>
        <v>#REF!</v>
      </c>
      <c r="G142" s="81" t="e">
        <f>((F74*(1-'5.Closing Stock &amp; W Capital'!$D$15))+(E74*'5.Closing Stock &amp; W Capital'!$D$15))*$C$142*G$124</f>
        <v>#REF!</v>
      </c>
      <c r="H142" s="81" t="e">
        <f>((G74*(1-'5.Closing Stock &amp; W Capital'!$D$15))+(F74*'5.Closing Stock &amp; W Capital'!$D$15))*$C$142*H$124</f>
        <v>#REF!</v>
      </c>
      <c r="I142" s="81" t="e">
        <f>((H74*(1-'5.Closing Stock &amp; W Capital'!$D$15))+(G74*'5.Closing Stock &amp; W Capital'!$D$15))*$C$142*I$124</f>
        <v>#REF!</v>
      </c>
      <c r="J142" s="81" t="e">
        <f>((I74*(1-'5.Closing Stock &amp; W Capital'!$D$15))+(H74*'5.Closing Stock &amp; W Capital'!$D$15))*$C$142*J$124</f>
        <v>#REF!</v>
      </c>
      <c r="K142" s="79"/>
      <c r="U142" s="79"/>
      <c r="V142" s="79"/>
      <c r="W142" s="79"/>
    </row>
    <row r="143" spans="1:23">
      <c r="A143" s="80" t="e">
        <f t="shared" si="52"/>
        <v>#REF!</v>
      </c>
      <c r="B143" s="80"/>
      <c r="C143" s="215"/>
      <c r="D143" s="81" t="e">
        <f>(C75*(1-'5.Closing Stock &amp; W Capital'!$D$15))*$C$143*D$124</f>
        <v>#REF!</v>
      </c>
      <c r="E143" s="81" t="e">
        <f>((D75*(1-'5.Closing Stock &amp; W Capital'!$D$15))+(C75*'5.Closing Stock &amp; W Capital'!$D$15))*$C$143*E$124</f>
        <v>#REF!</v>
      </c>
      <c r="F143" s="81" t="e">
        <f>((E75*(1-'5.Closing Stock &amp; W Capital'!$D$15))+(D75*'5.Closing Stock &amp; W Capital'!$D$15))*$C$143*F$124</f>
        <v>#REF!</v>
      </c>
      <c r="G143" s="81" t="e">
        <f>((F75*(1-'5.Closing Stock &amp; W Capital'!$D$15))+(E75*'5.Closing Stock &amp; W Capital'!$D$15))*$C$143*G$124</f>
        <v>#REF!</v>
      </c>
      <c r="H143" s="81" t="e">
        <f>((G75*(1-'5.Closing Stock &amp; W Capital'!$D$15))+(F75*'5.Closing Stock &amp; W Capital'!$D$15))*$C$143*H$124</f>
        <v>#REF!</v>
      </c>
      <c r="I143" s="81" t="e">
        <f>((H75*(1-'5.Closing Stock &amp; W Capital'!$D$15))+(G75*'5.Closing Stock &amp; W Capital'!$D$15))*$C$143*I$124</f>
        <v>#REF!</v>
      </c>
      <c r="J143" s="81" t="e">
        <f>((I75*(1-'5.Closing Stock &amp; W Capital'!$D$15))+(H75*'5.Closing Stock &amp; W Capital'!$D$15))*$C$143*J$124</f>
        <v>#REF!</v>
      </c>
      <c r="K143" s="79"/>
      <c r="U143" s="79"/>
      <c r="V143" s="79"/>
      <c r="W143" s="79"/>
    </row>
    <row r="144" spans="1:23">
      <c r="A144" s="80" t="e">
        <f t="shared" si="52"/>
        <v>#REF!</v>
      </c>
      <c r="B144" s="80"/>
      <c r="C144" s="215"/>
      <c r="D144" s="81" t="e">
        <f>(C76*(1-'5.Closing Stock &amp; W Capital'!$D$15))*$C$144*D$124</f>
        <v>#REF!</v>
      </c>
      <c r="E144" s="81" t="e">
        <f>((D76*(1-'5.Closing Stock &amp; W Capital'!$D$15))+(C76*'5.Closing Stock &amp; W Capital'!$D$15))*$C$144*E$124</f>
        <v>#REF!</v>
      </c>
      <c r="F144" s="81" t="e">
        <f>((E76*(1-'5.Closing Stock &amp; W Capital'!$D$15))+(D76*'5.Closing Stock &amp; W Capital'!$D$15))*$C$144*F$124</f>
        <v>#REF!</v>
      </c>
      <c r="G144" s="81" t="e">
        <f>((F76*(1-'5.Closing Stock &amp; W Capital'!$D$15))+(E76*'5.Closing Stock &amp; W Capital'!$D$15))*$C$144*G$124</f>
        <v>#REF!</v>
      </c>
      <c r="H144" s="81" t="e">
        <f>((G76*(1-'5.Closing Stock &amp; W Capital'!$D$15))+(F76*'5.Closing Stock &amp; W Capital'!$D$15))*$C$144*H$124</f>
        <v>#REF!</v>
      </c>
      <c r="I144" s="81" t="e">
        <f>((H76*(1-'5.Closing Stock &amp; W Capital'!$D$15))+(G76*'5.Closing Stock &amp; W Capital'!$D$15))*$C$144*I$124</f>
        <v>#REF!</v>
      </c>
      <c r="J144" s="81" t="e">
        <f>((I76*(1-'5.Closing Stock &amp; W Capital'!$D$15))+(H76*'5.Closing Stock &amp; W Capital'!$D$15))*$C$144*J$124</f>
        <v>#REF!</v>
      </c>
      <c r="K144" s="79"/>
      <c r="U144" s="79"/>
      <c r="V144" s="79"/>
      <c r="W144" s="79"/>
    </row>
    <row r="145" spans="1:23">
      <c r="A145" s="80" t="e">
        <f t="shared" si="52"/>
        <v>#REF!</v>
      </c>
      <c r="B145" s="80"/>
      <c r="C145" s="215"/>
      <c r="D145" s="81" t="e">
        <f>(C77*(1-'5.Closing Stock &amp; W Capital'!$D$15))*$C$145*D$124</f>
        <v>#REF!</v>
      </c>
      <c r="E145" s="81" t="e">
        <f>((D77*(1-'5.Closing Stock &amp; W Capital'!$D$15))+(C77*'5.Closing Stock &amp; W Capital'!$D$15))*$C$145*E$124</f>
        <v>#REF!</v>
      </c>
      <c r="F145" s="81" t="e">
        <f>((E77*(1-'5.Closing Stock &amp; W Capital'!$D$15))+(D77*'5.Closing Stock &amp; W Capital'!$D$15))*$C$145*F$124</f>
        <v>#REF!</v>
      </c>
      <c r="G145" s="81" t="e">
        <f>((F77*(1-'5.Closing Stock &amp; W Capital'!$D$15))+(E77*'5.Closing Stock &amp; W Capital'!$D$15))*$C$145*G$124</f>
        <v>#REF!</v>
      </c>
      <c r="H145" s="81" t="e">
        <f>((G77*(1-'5.Closing Stock &amp; W Capital'!$D$15))+(F77*'5.Closing Stock &amp; W Capital'!$D$15))*$C$145*H$124</f>
        <v>#REF!</v>
      </c>
      <c r="I145" s="81" t="e">
        <f>((H77*(1-'5.Closing Stock &amp; W Capital'!$D$15))+(G77*'5.Closing Stock &amp; W Capital'!$D$15))*$C$145*I$124</f>
        <v>#REF!</v>
      </c>
      <c r="J145" s="81" t="e">
        <f>((I77*(1-'5.Closing Stock &amp; W Capital'!$D$15))+(H77*'5.Closing Stock &amp; W Capital'!$D$15))*$C$145*J$124</f>
        <v>#REF!</v>
      </c>
      <c r="K145" s="79"/>
      <c r="U145" s="79"/>
      <c r="V145" s="79"/>
      <c r="W145" s="79"/>
    </row>
    <row r="146" spans="1:23">
      <c r="A146" s="80" t="e">
        <f t="shared" si="52"/>
        <v>#REF!</v>
      </c>
      <c r="B146" s="80"/>
      <c r="C146" s="215"/>
      <c r="D146" s="81" t="e">
        <f>(C78*(1-'5.Closing Stock &amp; W Capital'!$D$15))*$C$146*D$124</f>
        <v>#REF!</v>
      </c>
      <c r="E146" s="81" t="e">
        <f>((D78*(1-'5.Closing Stock &amp; W Capital'!$D$15))+(C78*'5.Closing Stock &amp; W Capital'!$D$15))*$C$146*E$124</f>
        <v>#REF!</v>
      </c>
      <c r="F146" s="81" t="e">
        <f>((E78*(1-'5.Closing Stock &amp; W Capital'!$D$15))+(D78*'5.Closing Stock &amp; W Capital'!$D$15))*$C$146*F$124</f>
        <v>#REF!</v>
      </c>
      <c r="G146" s="81" t="e">
        <f>((F78*(1-'5.Closing Stock &amp; W Capital'!$D$15))+(E78*'5.Closing Stock &amp; W Capital'!$D$15))*$C$146*G$124</f>
        <v>#REF!</v>
      </c>
      <c r="H146" s="81" t="e">
        <f>((G78*(1-'5.Closing Stock &amp; W Capital'!$D$15))+(F78*'5.Closing Stock &amp; W Capital'!$D$15))*$C$146*H$124</f>
        <v>#REF!</v>
      </c>
      <c r="I146" s="81" t="e">
        <f>((H78*(1-'5.Closing Stock &amp; W Capital'!$D$15))+(G78*'5.Closing Stock &amp; W Capital'!$D$15))*$C$146*I$124</f>
        <v>#REF!</v>
      </c>
      <c r="J146" s="81" t="e">
        <f>((I78*(1-'5.Closing Stock &amp; W Capital'!$D$15))+(H78*'5.Closing Stock &amp; W Capital'!$D$15))*$C$146*J$124</f>
        <v>#REF!</v>
      </c>
      <c r="K146" s="79"/>
      <c r="U146" s="79"/>
      <c r="V146" s="79"/>
      <c r="W146" s="79"/>
    </row>
    <row r="147" spans="1:23">
      <c r="A147" s="82" t="e">
        <f t="shared" si="52"/>
        <v>#REF!</v>
      </c>
      <c r="B147" s="80"/>
      <c r="C147" s="215"/>
      <c r="D147" s="81"/>
      <c r="E147" s="81"/>
      <c r="F147" s="81"/>
      <c r="G147" s="81"/>
      <c r="H147" s="81"/>
      <c r="I147" s="81"/>
      <c r="J147" s="81"/>
      <c r="K147" s="79"/>
      <c r="U147" s="79"/>
      <c r="V147" s="79"/>
      <c r="W147" s="79"/>
    </row>
    <row r="148" spans="1:23">
      <c r="A148" s="80" t="e">
        <f t="shared" si="52"/>
        <v>#REF!</v>
      </c>
      <c r="B148" s="80"/>
      <c r="C148" s="215"/>
      <c r="D148" s="81" t="e">
        <f>(C80*(1-'5.Closing Stock &amp; W Capital'!$D$15))*$C$148*D$124</f>
        <v>#REF!</v>
      </c>
      <c r="E148" s="81" t="e">
        <f>((D80*(1-'5.Closing Stock &amp; W Capital'!$D$15))+(C80*'5.Closing Stock &amp; W Capital'!$D$15))*$C$148*E$124</f>
        <v>#REF!</v>
      </c>
      <c r="F148" s="81" t="e">
        <f>((E80*(1-'5.Closing Stock &amp; W Capital'!$D$15))+(D80*'5.Closing Stock &amp; W Capital'!$D$15))*$C$148*F$124</f>
        <v>#REF!</v>
      </c>
      <c r="G148" s="81" t="e">
        <f>((F80*(1-'5.Closing Stock &amp; W Capital'!$D$15))+(E80*'5.Closing Stock &amp; W Capital'!$D$15))*$C$148*G$124</f>
        <v>#REF!</v>
      </c>
      <c r="H148" s="81" t="e">
        <f>((G80*(1-'5.Closing Stock &amp; W Capital'!$D$15))+(F80*'5.Closing Stock &amp; W Capital'!$D$15))*$C$148*H$124</f>
        <v>#REF!</v>
      </c>
      <c r="I148" s="81" t="e">
        <f>((H80*(1-'5.Closing Stock &amp; W Capital'!$D$15))+(G80*'5.Closing Stock &amp; W Capital'!$D$15))*$C$148*I$124</f>
        <v>#REF!</v>
      </c>
      <c r="J148" s="81" t="e">
        <f>((I80*(1-'5.Closing Stock &amp; W Capital'!$D$15))+(H80*'5.Closing Stock &amp; W Capital'!$D$15))*$C$148*J$124</f>
        <v>#REF!</v>
      </c>
      <c r="K148" s="79"/>
      <c r="U148" s="79"/>
      <c r="V148" s="79"/>
      <c r="W148" s="79"/>
    </row>
    <row r="149" spans="1:23">
      <c r="A149" s="80" t="e">
        <f t="shared" si="52"/>
        <v>#REF!</v>
      </c>
      <c r="B149" s="80"/>
      <c r="C149" s="215"/>
      <c r="D149" s="81" t="e">
        <f>(C81*(1-'5.Closing Stock &amp; W Capital'!$D$15))*$C$149*D$124</f>
        <v>#REF!</v>
      </c>
      <c r="E149" s="81" t="e">
        <f>((D81*(1-'5.Closing Stock &amp; W Capital'!$D$15))+(C81*'5.Closing Stock &amp; W Capital'!$D$15))*$C$149*E$124</f>
        <v>#REF!</v>
      </c>
      <c r="F149" s="81" t="e">
        <f>((E81*(1-'5.Closing Stock &amp; W Capital'!$D$15))+(D81*'5.Closing Stock &amp; W Capital'!$D$15))*$C$149*F$124</f>
        <v>#REF!</v>
      </c>
      <c r="G149" s="81" t="e">
        <f>((F81*(1-'5.Closing Stock &amp; W Capital'!$D$15))+(E81*'5.Closing Stock &amp; W Capital'!$D$15))*$C$149*G$124</f>
        <v>#REF!</v>
      </c>
      <c r="H149" s="81" t="e">
        <f>((G81*(1-'5.Closing Stock &amp; W Capital'!$D$15))+(F81*'5.Closing Stock &amp; W Capital'!$D$15))*$C$149*H$124</f>
        <v>#REF!</v>
      </c>
      <c r="I149" s="81" t="e">
        <f>((H81*(1-'5.Closing Stock &amp; W Capital'!$D$15))+(G81*'5.Closing Stock &amp; W Capital'!$D$15))*$C$149*I$124</f>
        <v>#REF!</v>
      </c>
      <c r="J149" s="81" t="e">
        <f>((I81*(1-'5.Closing Stock &amp; W Capital'!$D$15))+(H81*'5.Closing Stock &amp; W Capital'!$D$15))*$C$149*J$124</f>
        <v>#REF!</v>
      </c>
      <c r="K149" s="79"/>
      <c r="U149" s="79"/>
      <c r="V149" s="79"/>
      <c r="W149" s="79"/>
    </row>
    <row r="150" spans="1:23">
      <c r="A150" s="80" t="e">
        <f t="shared" si="52"/>
        <v>#REF!</v>
      </c>
      <c r="B150" s="80"/>
      <c r="C150" s="215"/>
      <c r="D150" s="81" t="e">
        <f>(C82*(1-'5.Closing Stock &amp; W Capital'!$D$15))*$C$150*D$124</f>
        <v>#REF!</v>
      </c>
      <c r="E150" s="81" t="e">
        <f>((D82*(1-'5.Closing Stock &amp; W Capital'!$D$15))+(C82*'5.Closing Stock &amp; W Capital'!$D$15))*$C$150*E$124</f>
        <v>#REF!</v>
      </c>
      <c r="F150" s="81" t="e">
        <f>((E82*(1-'5.Closing Stock &amp; W Capital'!$D$15))+(D82*'5.Closing Stock &amp; W Capital'!$D$15))*$C$150*F$124</f>
        <v>#REF!</v>
      </c>
      <c r="G150" s="81" t="e">
        <f>((F82*(1-'5.Closing Stock &amp; W Capital'!$D$15))+(E82*'5.Closing Stock &amp; W Capital'!$D$15))*$C$150*G$124</f>
        <v>#REF!</v>
      </c>
      <c r="H150" s="81" t="e">
        <f>((G82*(1-'5.Closing Stock &amp; W Capital'!$D$15))+(F82*'5.Closing Stock &amp; W Capital'!$D$15))*$C$150*H$124</f>
        <v>#REF!</v>
      </c>
      <c r="I150" s="81" t="e">
        <f>((H82*(1-'5.Closing Stock &amp; W Capital'!$D$15))+(G82*'5.Closing Stock &amp; W Capital'!$D$15))*$C$150*I$124</f>
        <v>#REF!</v>
      </c>
      <c r="J150" s="81" t="e">
        <f>((I82*(1-'5.Closing Stock &amp; W Capital'!$D$15))+(H82*'5.Closing Stock &amp; W Capital'!$D$15))*$C$150*J$124</f>
        <v>#REF!</v>
      </c>
      <c r="K150" s="79"/>
      <c r="U150" s="79"/>
      <c r="V150" s="79"/>
      <c r="W150" s="79"/>
    </row>
    <row r="151" spans="1:23">
      <c r="A151" s="80" t="e">
        <f t="shared" si="52"/>
        <v>#REF!</v>
      </c>
      <c r="B151" s="80"/>
      <c r="C151" s="215"/>
      <c r="D151" s="81" t="e">
        <f>(C83*(1-'5.Closing Stock &amp; W Capital'!$D$15))*$C$151*D$124</f>
        <v>#REF!</v>
      </c>
      <c r="E151" s="81" t="e">
        <f>((D83*(1-'5.Closing Stock &amp; W Capital'!$D$15))+(C83*'5.Closing Stock &amp; W Capital'!$D$15))*$C$151*E$124</f>
        <v>#REF!</v>
      </c>
      <c r="F151" s="81" t="e">
        <f>((E83*(1-'5.Closing Stock &amp; W Capital'!$D$15))+(D83*'5.Closing Stock &amp; W Capital'!$D$15))*$C$151*F$124</f>
        <v>#REF!</v>
      </c>
      <c r="G151" s="81" t="e">
        <f>((F83*(1-'5.Closing Stock &amp; W Capital'!$D$15))+(E83*'5.Closing Stock &amp; W Capital'!$D$15))*$C$151*G$124</f>
        <v>#REF!</v>
      </c>
      <c r="H151" s="81" t="e">
        <f>((G83*(1-'5.Closing Stock &amp; W Capital'!$D$15))+(F83*'5.Closing Stock &amp; W Capital'!$D$15))*$C$151*H$124</f>
        <v>#REF!</v>
      </c>
      <c r="I151" s="81" t="e">
        <f>((H83*(1-'5.Closing Stock &amp; W Capital'!$D$15))+(G83*'5.Closing Stock &amp; W Capital'!$D$15))*$C$151*I$124</f>
        <v>#REF!</v>
      </c>
      <c r="J151" s="81" t="e">
        <f>((I83*(1-'5.Closing Stock &amp; W Capital'!$D$15))+(H83*'5.Closing Stock &amp; W Capital'!$D$15))*$C$151*J$124</f>
        <v>#REF!</v>
      </c>
      <c r="K151" s="79"/>
      <c r="U151" s="79"/>
      <c r="V151" s="79"/>
      <c r="W151" s="79"/>
    </row>
    <row r="152" spans="1:23">
      <c r="A152" s="80" t="e">
        <f t="shared" si="52"/>
        <v>#REF!</v>
      </c>
      <c r="B152" s="80"/>
      <c r="C152" s="215"/>
      <c r="D152" s="81" t="e">
        <f>(C84*(1-'5.Closing Stock &amp; W Capital'!$D$15))*$C$152*D$124</f>
        <v>#REF!</v>
      </c>
      <c r="E152" s="81" t="e">
        <f>((D84*(1-'5.Closing Stock &amp; W Capital'!$D$15))+(C84*'5.Closing Stock &amp; W Capital'!$D$15))*$C$152*E$124</f>
        <v>#REF!</v>
      </c>
      <c r="F152" s="81" t="e">
        <f>((E84*(1-'5.Closing Stock &amp; W Capital'!$D$15))+(D84*'5.Closing Stock &amp; W Capital'!$D$15))*$C$152*F$124</f>
        <v>#REF!</v>
      </c>
      <c r="G152" s="81" t="e">
        <f>((F84*(1-'5.Closing Stock &amp; W Capital'!$D$15))+(E84*'5.Closing Stock &amp; W Capital'!$D$15))*$C$152*G$124</f>
        <v>#REF!</v>
      </c>
      <c r="H152" s="81" t="e">
        <f>((G84*(1-'5.Closing Stock &amp; W Capital'!$D$15))+(F84*'5.Closing Stock &amp; W Capital'!$D$15))*$C$152*H$124</f>
        <v>#REF!</v>
      </c>
      <c r="I152" s="81" t="e">
        <f>((H84*(1-'5.Closing Stock &amp; W Capital'!$D$15))+(G84*'5.Closing Stock &amp; W Capital'!$D$15))*$C$152*I$124</f>
        <v>#REF!</v>
      </c>
      <c r="J152" s="81" t="e">
        <f>((I84*(1-'5.Closing Stock &amp; W Capital'!$D$15))+(H84*'5.Closing Stock &amp; W Capital'!$D$15))*$C$152*J$124</f>
        <v>#REF!</v>
      </c>
      <c r="K152" s="79"/>
      <c r="U152" s="79"/>
      <c r="V152" s="79"/>
      <c r="W152" s="79"/>
    </row>
    <row r="153" spans="1:23">
      <c r="A153" s="80" t="str">
        <f t="shared" si="52"/>
        <v>Fruit  &amp; Vegetables Crop Production Details</v>
      </c>
      <c r="B153" s="80"/>
      <c r="C153" s="215"/>
      <c r="D153" s="81"/>
      <c r="E153" s="81"/>
      <c r="F153" s="81"/>
      <c r="G153" s="81"/>
      <c r="H153" s="81"/>
      <c r="I153" s="81"/>
      <c r="J153" s="81"/>
      <c r="K153" s="79"/>
      <c r="U153" s="79"/>
      <c r="V153" s="79"/>
      <c r="W153" s="79"/>
    </row>
    <row r="154" spans="1:23">
      <c r="A154" s="80">
        <f t="shared" si="52"/>
        <v>0</v>
      </c>
      <c r="B154" s="80"/>
      <c r="C154" s="215"/>
      <c r="D154" s="81">
        <f>(C86*(1-'5.Closing Stock &amp; W Capital'!$D$15))*$C154*D$124</f>
        <v>0</v>
      </c>
      <c r="E154" s="81">
        <f>((D86*(1-'5.Closing Stock &amp; W Capital'!$D$15))+(C86*'5.Closing Stock &amp; W Capital'!$D$15))*$C154*E$124</f>
        <v>0</v>
      </c>
      <c r="F154" s="81">
        <f>((E86*(1-'5.Closing Stock &amp; W Capital'!$D$15))+(D86*'5.Closing Stock &amp; W Capital'!$D$15))*$C$152*F$124</f>
        <v>0</v>
      </c>
      <c r="G154" s="81">
        <f>((F86*(1-'5.Closing Stock &amp; W Capital'!$D$15))+(E86*'5.Closing Stock &amp; W Capital'!$D$15))*$C$152*G$124</f>
        <v>0</v>
      </c>
      <c r="H154" s="81">
        <f>((G86*(1-'5.Closing Stock &amp; W Capital'!$D$15))+(F86*'5.Closing Stock &amp; W Capital'!$D$15))*$C$152*H$124</f>
        <v>0</v>
      </c>
      <c r="I154" s="81">
        <f>((H86*(1-'5.Closing Stock &amp; W Capital'!$D$15))+(G86*'5.Closing Stock &amp; W Capital'!$D$15))*$C$152*I$124</f>
        <v>0</v>
      </c>
      <c r="J154" s="81">
        <f>((I86*(1-'5.Closing Stock &amp; W Capital'!$D$15))+(H86*'5.Closing Stock &amp; W Capital'!$D$15))*$C$152*J$124</f>
        <v>0</v>
      </c>
      <c r="K154" s="79"/>
      <c r="U154" s="79"/>
      <c r="V154" s="79"/>
      <c r="W154" s="79"/>
    </row>
    <row r="155" spans="1:23">
      <c r="A155" s="80" t="e">
        <f t="shared" si="52"/>
        <v>#REF!</v>
      </c>
      <c r="B155" s="80"/>
      <c r="C155" s="215"/>
      <c r="D155" s="81" t="e">
        <f>(C87*(1-'5.Closing Stock &amp; W Capital'!$D$15))*$C155*D$124</f>
        <v>#REF!</v>
      </c>
      <c r="E155" s="81" t="e">
        <f>((D87*(1-'5.Closing Stock &amp; W Capital'!$D$15))+(C87*'5.Closing Stock &amp; W Capital'!$D$15))*$C155*E$124</f>
        <v>#REF!</v>
      </c>
      <c r="F155" s="81" t="e">
        <f>((E87*(1-'5.Closing Stock &amp; W Capital'!$D$15))+(D87*'5.Closing Stock &amp; W Capital'!$D$15))*$C$152*F$124</f>
        <v>#REF!</v>
      </c>
      <c r="G155" s="81" t="e">
        <f>((F87*(1-'5.Closing Stock &amp; W Capital'!$D$15))+(E87*'5.Closing Stock &amp; W Capital'!$D$15))*$C$152*G$124</f>
        <v>#REF!</v>
      </c>
      <c r="H155" s="81" t="e">
        <f>((G87*(1-'5.Closing Stock &amp; W Capital'!$D$15))+(F87*'5.Closing Stock &amp; W Capital'!$D$15))*$C$152*H$124</f>
        <v>#REF!</v>
      </c>
      <c r="I155" s="81" t="e">
        <f>((H87*(1-'5.Closing Stock &amp; W Capital'!$D$15))+(G87*'5.Closing Stock &amp; W Capital'!$D$15))*$C$152*I$124</f>
        <v>#REF!</v>
      </c>
      <c r="J155" s="81" t="e">
        <f>((I87*(1-'5.Closing Stock &amp; W Capital'!$D$15))+(H87*'5.Closing Stock &amp; W Capital'!$D$15))*$C$152*J$124</f>
        <v>#REF!</v>
      </c>
      <c r="K155" s="79"/>
      <c r="U155" s="79"/>
      <c r="V155" s="79"/>
      <c r="W155" s="79"/>
    </row>
    <row r="156" spans="1:23">
      <c r="A156" s="80" t="e">
        <f t="shared" si="52"/>
        <v>#REF!</v>
      </c>
      <c r="B156" s="80"/>
      <c r="C156" s="215"/>
      <c r="D156" s="81" t="e">
        <f>(C88*(1-'5.Closing Stock &amp; W Capital'!$D$15))*$C156*D$124</f>
        <v>#REF!</v>
      </c>
      <c r="E156" s="81" t="e">
        <f>((D88*(1-'5.Closing Stock &amp; W Capital'!$D$15))+(C88*'5.Closing Stock &amp; W Capital'!$D$15))*$C156*E$124</f>
        <v>#REF!</v>
      </c>
      <c r="F156" s="81" t="e">
        <f>((E88*(1-'5.Closing Stock &amp; W Capital'!$D$15))+(D88*'5.Closing Stock &amp; W Capital'!$D$15))*$C$152*F$124</f>
        <v>#REF!</v>
      </c>
      <c r="G156" s="81" t="e">
        <f>((F88*(1-'5.Closing Stock &amp; W Capital'!$D$15))+(E88*'5.Closing Stock &amp; W Capital'!$D$15))*$C$152*G$124</f>
        <v>#REF!</v>
      </c>
      <c r="H156" s="81" t="e">
        <f>((G88*(1-'5.Closing Stock &amp; W Capital'!$D$15))+(F88*'5.Closing Stock &amp; W Capital'!$D$15))*$C$152*H$124</f>
        <v>#REF!</v>
      </c>
      <c r="I156" s="81" t="e">
        <f>((H88*(1-'5.Closing Stock &amp; W Capital'!$D$15))+(G88*'5.Closing Stock &amp; W Capital'!$D$15))*$C$152*I$124</f>
        <v>#REF!</v>
      </c>
      <c r="J156" s="81" t="e">
        <f>((I88*(1-'5.Closing Stock &amp; W Capital'!$D$15))+(H88*'5.Closing Stock &amp; W Capital'!$D$15))*$C$152*J$124</f>
        <v>#REF!</v>
      </c>
      <c r="K156" s="79"/>
      <c r="U156" s="79"/>
      <c r="V156" s="79"/>
      <c r="W156" s="79"/>
    </row>
    <row r="157" spans="1:23">
      <c r="A157" s="80" t="str">
        <f t="shared" si="52"/>
        <v>Chilli</v>
      </c>
      <c r="B157" s="80"/>
      <c r="C157" s="215"/>
      <c r="D157" s="81">
        <f>(C89*(1-'5.Closing Stock &amp; W Capital'!$D$15))*$C157*D$124</f>
        <v>0</v>
      </c>
      <c r="E157" s="81">
        <f>((D89*(1-'5.Closing Stock &amp; W Capital'!$D$15))+(C89*'5.Closing Stock &amp; W Capital'!$D$15))*$C157*E$124</f>
        <v>0</v>
      </c>
      <c r="F157" s="81">
        <f>((E89*(1-'5.Closing Stock &amp; W Capital'!$D$15))+(D89*'5.Closing Stock &amp; W Capital'!$D$15))*$C$152*F$124</f>
        <v>0</v>
      </c>
      <c r="G157" s="81">
        <f>((F89*(1-'5.Closing Stock &amp; W Capital'!$D$15))+(E89*'5.Closing Stock &amp; W Capital'!$D$15))*$C$152*G$124</f>
        <v>0</v>
      </c>
      <c r="H157" s="81">
        <f>((G89*(1-'5.Closing Stock &amp; W Capital'!$D$15))+(F89*'5.Closing Stock &amp; W Capital'!$D$15))*$C$152*H$124</f>
        <v>0</v>
      </c>
      <c r="I157" s="81">
        <f>((H89*(1-'5.Closing Stock &amp; W Capital'!$D$15))+(G89*'5.Closing Stock &amp; W Capital'!$D$15))*$C$152*I$124</f>
        <v>0</v>
      </c>
      <c r="J157" s="81">
        <f>((I89*(1-'5.Closing Stock &amp; W Capital'!$D$15))+(H89*'5.Closing Stock &amp; W Capital'!$D$15))*$C$152*J$124</f>
        <v>0</v>
      </c>
      <c r="K157" s="79"/>
      <c r="U157" s="79"/>
      <c r="V157" s="79"/>
      <c r="W157" s="79"/>
    </row>
    <row r="158" spans="1:23">
      <c r="A158" s="80" t="e">
        <f t="shared" si="52"/>
        <v>#REF!</v>
      </c>
      <c r="B158" s="80"/>
      <c r="C158" s="215"/>
      <c r="D158" s="81" t="e">
        <f>(C90*(1-'5.Closing Stock &amp; W Capital'!$D$15))*$C158*D$124</f>
        <v>#REF!</v>
      </c>
      <c r="E158" s="81" t="e">
        <f>((D90*(1-'5.Closing Stock &amp; W Capital'!$D$15))+(C90*'5.Closing Stock &amp; W Capital'!$D$15))*$C158*E$124</f>
        <v>#REF!</v>
      </c>
      <c r="F158" s="81" t="e">
        <f>((E90*(1-'5.Closing Stock &amp; W Capital'!$D$15))+(D90*'5.Closing Stock &amp; W Capital'!$D$15))*$C$152*F$124</f>
        <v>#REF!</v>
      </c>
      <c r="G158" s="81" t="e">
        <f>((F90*(1-'5.Closing Stock &amp; W Capital'!$D$15))+(E90*'5.Closing Stock &amp; W Capital'!$D$15))*$C$152*G$124</f>
        <v>#REF!</v>
      </c>
      <c r="H158" s="81" t="e">
        <f>((G90*(1-'5.Closing Stock &amp; W Capital'!$D$15))+(F90*'5.Closing Stock &amp; W Capital'!$D$15))*$C$152*H$124</f>
        <v>#REF!</v>
      </c>
      <c r="I158" s="81" t="e">
        <f>((H90*(1-'5.Closing Stock &amp; W Capital'!$D$15))+(G90*'5.Closing Stock &amp; W Capital'!$D$15))*$C$152*I$124</f>
        <v>#REF!</v>
      </c>
      <c r="J158" s="81" t="e">
        <f>((I90*(1-'5.Closing Stock &amp; W Capital'!$D$15))+(H90*'5.Closing Stock &amp; W Capital'!$D$15))*$C$152*J$124</f>
        <v>#REF!</v>
      </c>
      <c r="K158" s="79"/>
      <c r="U158" s="79"/>
      <c r="V158" s="79"/>
      <c r="W158" s="79"/>
    </row>
    <row r="159" spans="1:23">
      <c r="A159" s="80" t="e">
        <f t="shared" si="52"/>
        <v>#REF!</v>
      </c>
      <c r="B159" s="80"/>
      <c r="C159" s="215"/>
      <c r="D159" s="81" t="e">
        <f>(C91*(1-'5.Closing Stock &amp; W Capital'!$D$15))*$C159*D$124</f>
        <v>#REF!</v>
      </c>
      <c r="E159" s="81" t="e">
        <f>((D91*(1-'5.Closing Stock &amp; W Capital'!$D$15))+(C91*'5.Closing Stock &amp; W Capital'!$D$15))*$C159*E$124</f>
        <v>#REF!</v>
      </c>
      <c r="F159" s="81" t="e">
        <f>((E91*(1-'5.Closing Stock &amp; W Capital'!$D$15))+(D91*'5.Closing Stock &amp; W Capital'!$D$15))*$C$152*F$124</f>
        <v>#REF!</v>
      </c>
      <c r="G159" s="81" t="e">
        <f>((F91*(1-'5.Closing Stock &amp; W Capital'!$D$15))+(E91*'5.Closing Stock &amp; W Capital'!$D$15))*$C$152*G$124</f>
        <v>#REF!</v>
      </c>
      <c r="H159" s="81" t="e">
        <f>((G91*(1-'5.Closing Stock &amp; W Capital'!$D$15))+(F91*'5.Closing Stock &amp; W Capital'!$D$15))*$C$152*H$124</f>
        <v>#REF!</v>
      </c>
      <c r="I159" s="81" t="e">
        <f>((H91*(1-'5.Closing Stock &amp; W Capital'!$D$15))+(G91*'5.Closing Stock &amp; W Capital'!$D$15))*$C$152*I$124</f>
        <v>#REF!</v>
      </c>
      <c r="J159" s="81" t="e">
        <f>((I91*(1-'5.Closing Stock &amp; W Capital'!$D$15))+(H91*'5.Closing Stock &amp; W Capital'!$D$15))*$C$152*J$124</f>
        <v>#REF!</v>
      </c>
      <c r="K159" s="79"/>
      <c r="U159" s="79"/>
      <c r="V159" s="79"/>
      <c r="W159" s="79"/>
    </row>
    <row r="160" spans="1:23">
      <c r="A160" s="80" t="e">
        <f t="shared" si="52"/>
        <v>#REF!</v>
      </c>
      <c r="B160" s="80"/>
      <c r="C160" s="215"/>
      <c r="D160" s="81" t="e">
        <f>(C92*(1-'5.Closing Stock &amp; W Capital'!$D$15))*$C160*D$124</f>
        <v>#REF!</v>
      </c>
      <c r="E160" s="81" t="e">
        <f>((D92*(1-'5.Closing Stock &amp; W Capital'!$D$15))+(C92*'5.Closing Stock &amp; W Capital'!$D$15))*$C160*E$124</f>
        <v>#REF!</v>
      </c>
      <c r="F160" s="81" t="e">
        <f>((E92*(1-'5.Closing Stock &amp; W Capital'!$D$15))+(D92*'5.Closing Stock &amp; W Capital'!$D$15))*$C$152*F$124</f>
        <v>#REF!</v>
      </c>
      <c r="G160" s="81" t="e">
        <f>((F92*(1-'5.Closing Stock &amp; W Capital'!$D$15))+(E92*'5.Closing Stock &amp; W Capital'!$D$15))*$C$152*G$124</f>
        <v>#REF!</v>
      </c>
      <c r="H160" s="81" t="e">
        <f>((G92*(1-'5.Closing Stock &amp; W Capital'!$D$15))+(F92*'5.Closing Stock &amp; W Capital'!$D$15))*$C$152*H$124</f>
        <v>#REF!</v>
      </c>
      <c r="I160" s="81" t="e">
        <f>((H92*(1-'5.Closing Stock &amp; W Capital'!$D$15))+(G92*'5.Closing Stock &amp; W Capital'!$D$15))*$C$152*I$124</f>
        <v>#REF!</v>
      </c>
      <c r="J160" s="81" t="e">
        <f>((I92*(1-'5.Closing Stock &amp; W Capital'!$D$15))+(H92*'5.Closing Stock &amp; W Capital'!$D$15))*$C$152*J$124</f>
        <v>#REF!</v>
      </c>
      <c r="K160" s="79"/>
      <c r="U160" s="79"/>
      <c r="V160" s="79"/>
      <c r="W160" s="79"/>
    </row>
    <row r="161" spans="1:23">
      <c r="A161" s="80" t="e">
        <f t="shared" ref="A161:A179" si="53">A40</f>
        <v>#REF!</v>
      </c>
      <c r="B161" s="80"/>
      <c r="C161" s="215"/>
      <c r="D161" s="81" t="e">
        <f>(C93*(1-'5.Closing Stock &amp; W Capital'!$D$15))*$C161*D$124</f>
        <v>#REF!</v>
      </c>
      <c r="E161" s="81" t="e">
        <f>((D93*(1-'5.Closing Stock &amp; W Capital'!$D$15))+(C93*'5.Closing Stock &amp; W Capital'!$D$15))*$C161*E$124</f>
        <v>#REF!</v>
      </c>
      <c r="F161" s="81" t="e">
        <f>((E93*(1-'5.Closing Stock &amp; W Capital'!$D$15))+(D93*'5.Closing Stock &amp; W Capital'!$D$15))*$C$152*F$124</f>
        <v>#REF!</v>
      </c>
      <c r="G161" s="81" t="e">
        <f>((F93*(1-'5.Closing Stock &amp; W Capital'!$D$15))+(E93*'5.Closing Stock &amp; W Capital'!$D$15))*$C$152*G$124</f>
        <v>#REF!</v>
      </c>
      <c r="H161" s="81" t="e">
        <f>((G93*(1-'5.Closing Stock &amp; W Capital'!$D$15))+(F93*'5.Closing Stock &amp; W Capital'!$D$15))*$C$152*H$124</f>
        <v>#REF!</v>
      </c>
      <c r="I161" s="81" t="e">
        <f>((H93*(1-'5.Closing Stock &amp; W Capital'!$D$15))+(G93*'5.Closing Stock &amp; W Capital'!$D$15))*$C$152*I$124</f>
        <v>#REF!</v>
      </c>
      <c r="J161" s="81" t="e">
        <f>((I93*(1-'5.Closing Stock &amp; W Capital'!$D$15))+(H93*'5.Closing Stock &amp; W Capital'!$D$15))*$C$152*J$124</f>
        <v>#REF!</v>
      </c>
      <c r="K161" s="79"/>
      <c r="U161" s="79"/>
      <c r="V161" s="79"/>
      <c r="W161" s="79"/>
    </row>
    <row r="162" spans="1:23">
      <c r="A162" s="80" t="e">
        <f t="shared" si="53"/>
        <v>#REF!</v>
      </c>
      <c r="B162" s="80"/>
      <c r="C162" s="215"/>
      <c r="D162" s="81" t="e">
        <f>(C94*(1-'5.Closing Stock &amp; W Capital'!$D$15))*$C162*D$124</f>
        <v>#REF!</v>
      </c>
      <c r="E162" s="81" t="e">
        <f>((D94*(1-'5.Closing Stock &amp; W Capital'!$D$15))+(C94*'5.Closing Stock &amp; W Capital'!$D$15))*$C162*E$124</f>
        <v>#REF!</v>
      </c>
      <c r="F162" s="81" t="e">
        <f>((E94*(1-'5.Closing Stock &amp; W Capital'!$D$15))+(D94*'5.Closing Stock &amp; W Capital'!$D$15))*$C$152*F$124</f>
        <v>#REF!</v>
      </c>
      <c r="G162" s="81" t="e">
        <f>((F94*(1-'5.Closing Stock &amp; W Capital'!$D$15))+(E94*'5.Closing Stock &amp; W Capital'!$D$15))*$C$152*G$124</f>
        <v>#REF!</v>
      </c>
      <c r="H162" s="81" t="e">
        <f>((G94*(1-'5.Closing Stock &amp; W Capital'!$D$15))+(F94*'5.Closing Stock &amp; W Capital'!$D$15))*$C$152*H$124</f>
        <v>#REF!</v>
      </c>
      <c r="I162" s="81" t="e">
        <f>((H94*(1-'5.Closing Stock &amp; W Capital'!$D$15))+(G94*'5.Closing Stock &amp; W Capital'!$D$15))*$C$152*I$124</f>
        <v>#REF!</v>
      </c>
      <c r="J162" s="81" t="e">
        <f>((I94*(1-'5.Closing Stock &amp; W Capital'!$D$15))+(H94*'5.Closing Stock &amp; W Capital'!$D$15))*$C$152*J$124</f>
        <v>#REF!</v>
      </c>
      <c r="K162" s="79"/>
      <c r="U162" s="79"/>
      <c r="V162" s="79"/>
      <c r="W162" s="79"/>
    </row>
    <row r="163" spans="1:23">
      <c r="A163" s="80" t="e">
        <f t="shared" si="53"/>
        <v>#REF!</v>
      </c>
      <c r="B163" s="80"/>
      <c r="C163" s="215"/>
      <c r="D163" s="81" t="e">
        <f>(C95*(1-'5.Closing Stock &amp; W Capital'!$D$15))*$C163*D$124</f>
        <v>#REF!</v>
      </c>
      <c r="E163" s="81" t="e">
        <f>((D95*(1-'5.Closing Stock &amp; W Capital'!$D$15))+(C95*'5.Closing Stock &amp; W Capital'!$D$15))*$C163*E$124</f>
        <v>#REF!</v>
      </c>
      <c r="F163" s="81" t="e">
        <f>((E95*(1-'5.Closing Stock &amp; W Capital'!$D$15))+(D95*'5.Closing Stock &amp; W Capital'!$D$15))*$C$152*F$124</f>
        <v>#REF!</v>
      </c>
      <c r="G163" s="81" t="e">
        <f>((F95*(1-'5.Closing Stock &amp; W Capital'!$D$15))+(E95*'5.Closing Stock &amp; W Capital'!$D$15))*$C$152*G$124</f>
        <v>#REF!</v>
      </c>
      <c r="H163" s="81" t="e">
        <f>((G95*(1-'5.Closing Stock &amp; W Capital'!$D$15))+(F95*'5.Closing Stock &amp; W Capital'!$D$15))*$C$152*H$124</f>
        <v>#REF!</v>
      </c>
      <c r="I163" s="81" t="e">
        <f>((H95*(1-'5.Closing Stock &amp; W Capital'!$D$15))+(G95*'5.Closing Stock &amp; W Capital'!$D$15))*$C$152*I$124</f>
        <v>#REF!</v>
      </c>
      <c r="J163" s="81" t="e">
        <f>((I95*(1-'5.Closing Stock &amp; W Capital'!$D$15))+(H95*'5.Closing Stock &amp; W Capital'!$D$15))*$C$152*J$124</f>
        <v>#REF!</v>
      </c>
      <c r="K163" s="79"/>
      <c r="U163" s="79"/>
      <c r="V163" s="79"/>
      <c r="W163" s="79"/>
    </row>
    <row r="164" spans="1:23">
      <c r="A164" s="80" t="e">
        <f t="shared" si="53"/>
        <v>#REF!</v>
      </c>
      <c r="B164" s="80"/>
      <c r="C164" s="215"/>
      <c r="D164" s="81" t="e">
        <f>(C96*(1-'5.Closing Stock &amp; W Capital'!$D$15))*$C164*D$124</f>
        <v>#REF!</v>
      </c>
      <c r="E164" s="81" t="e">
        <f>((D96*(1-'5.Closing Stock &amp; W Capital'!$D$15))+(C96*'5.Closing Stock &amp; W Capital'!$D$15))*$C164*E$124</f>
        <v>#REF!</v>
      </c>
      <c r="F164" s="81" t="e">
        <f>((E96*(1-'5.Closing Stock &amp; W Capital'!$D$15))+(D96*'5.Closing Stock &amp; W Capital'!$D$15))*$C$152*F$124</f>
        <v>#REF!</v>
      </c>
      <c r="G164" s="81" t="e">
        <f>((F96*(1-'5.Closing Stock &amp; W Capital'!$D$15))+(E96*'5.Closing Stock &amp; W Capital'!$D$15))*$C$152*G$124</f>
        <v>#REF!</v>
      </c>
      <c r="H164" s="81" t="e">
        <f>((G96*(1-'5.Closing Stock &amp; W Capital'!$D$15))+(F96*'5.Closing Stock &amp; W Capital'!$D$15))*$C$152*H$124</f>
        <v>#REF!</v>
      </c>
      <c r="I164" s="81" t="e">
        <f>((H96*(1-'5.Closing Stock &amp; W Capital'!$D$15))+(G96*'5.Closing Stock &amp; W Capital'!$D$15))*$C$152*I$124</f>
        <v>#REF!</v>
      </c>
      <c r="J164" s="81" t="e">
        <f>((I96*(1-'5.Closing Stock &amp; W Capital'!$D$15))+(H96*'5.Closing Stock &amp; W Capital'!$D$15))*$C$152*J$124</f>
        <v>#REF!</v>
      </c>
      <c r="K164" s="79"/>
      <c r="U164" s="79"/>
      <c r="V164" s="79"/>
      <c r="W164" s="79"/>
    </row>
    <row r="165" spans="1:23">
      <c r="A165" s="80" t="e">
        <f t="shared" si="53"/>
        <v>#REF!</v>
      </c>
      <c r="B165" s="80"/>
      <c r="C165" s="215"/>
      <c r="D165" s="81" t="e">
        <f>(C97*(1-'5.Closing Stock &amp; W Capital'!$D$15))*$C165*D$124</f>
        <v>#REF!</v>
      </c>
      <c r="E165" s="81" t="e">
        <f>((D97*(1-'5.Closing Stock &amp; W Capital'!$D$15))+(C97*'5.Closing Stock &amp; W Capital'!$D$15))*$C165*E$124</f>
        <v>#REF!</v>
      </c>
      <c r="F165" s="81" t="e">
        <f>((E97*(1-'5.Closing Stock &amp; W Capital'!$D$15))+(D97*'5.Closing Stock &amp; W Capital'!$D$15))*$C$152*F$124</f>
        <v>#REF!</v>
      </c>
      <c r="G165" s="81" t="e">
        <f>((F97*(1-'5.Closing Stock &amp; W Capital'!$D$15))+(E97*'5.Closing Stock &amp; W Capital'!$D$15))*$C$152*G$124</f>
        <v>#REF!</v>
      </c>
      <c r="H165" s="81" t="e">
        <f>((G97*(1-'5.Closing Stock &amp; W Capital'!$D$15))+(F97*'5.Closing Stock &amp; W Capital'!$D$15))*$C$152*H$124</f>
        <v>#REF!</v>
      </c>
      <c r="I165" s="81" t="e">
        <f>((H97*(1-'5.Closing Stock &amp; W Capital'!$D$15))+(G97*'5.Closing Stock &amp; W Capital'!$D$15))*$C$152*I$124</f>
        <v>#REF!</v>
      </c>
      <c r="J165" s="81" t="e">
        <f>((I97*(1-'5.Closing Stock &amp; W Capital'!$D$15))+(H97*'5.Closing Stock &amp; W Capital'!$D$15))*$C$152*J$124</f>
        <v>#REF!</v>
      </c>
      <c r="K165" s="79"/>
      <c r="U165" s="79"/>
      <c r="V165" s="79"/>
      <c r="W165" s="79"/>
    </row>
    <row r="166" spans="1:23">
      <c r="A166" s="80" t="e">
        <f t="shared" si="53"/>
        <v>#REF!</v>
      </c>
      <c r="B166" s="80"/>
      <c r="C166" s="215"/>
      <c r="D166" s="81" t="e">
        <f>(C98*(1-'5.Closing Stock &amp; W Capital'!$D$15))*$C166*D$124</f>
        <v>#REF!</v>
      </c>
      <c r="E166" s="81" t="e">
        <f>((D98*(1-'5.Closing Stock &amp; W Capital'!$D$15))+(C98*'5.Closing Stock &amp; W Capital'!$D$15))*$C166*E$124</f>
        <v>#REF!</v>
      </c>
      <c r="F166" s="81" t="e">
        <f>((E98*(1-'5.Closing Stock &amp; W Capital'!$D$15))+(D98*'5.Closing Stock &amp; W Capital'!$D$15))*$C$152*F$124</f>
        <v>#REF!</v>
      </c>
      <c r="G166" s="81" t="e">
        <f>((F98*(1-'5.Closing Stock &amp; W Capital'!$D$15))+(E98*'5.Closing Stock &amp; W Capital'!$D$15))*$C$152*G$124</f>
        <v>#REF!</v>
      </c>
      <c r="H166" s="81" t="e">
        <f>((G98*(1-'5.Closing Stock &amp; W Capital'!$D$15))+(F98*'5.Closing Stock &amp; W Capital'!$D$15))*$C$152*H$124</f>
        <v>#REF!</v>
      </c>
      <c r="I166" s="81" t="e">
        <f>((H98*(1-'5.Closing Stock &amp; W Capital'!$D$15))+(G98*'5.Closing Stock &amp; W Capital'!$D$15))*$C$152*I$124</f>
        <v>#REF!</v>
      </c>
      <c r="J166" s="81" t="e">
        <f>((I98*(1-'5.Closing Stock &amp; W Capital'!$D$15))+(H98*'5.Closing Stock &amp; W Capital'!$D$15))*$C$152*J$124</f>
        <v>#REF!</v>
      </c>
      <c r="K166" s="79"/>
      <c r="U166" s="79"/>
      <c r="V166" s="79"/>
      <c r="W166" s="79"/>
    </row>
    <row r="167" spans="1:23">
      <c r="A167" s="80" t="e">
        <f t="shared" si="53"/>
        <v>#REF!</v>
      </c>
      <c r="B167" s="80"/>
      <c r="C167" s="215"/>
      <c r="D167" s="81" t="e">
        <f>(C99*(1-'5.Closing Stock &amp; W Capital'!$D$15))*$C167*D$124</f>
        <v>#REF!</v>
      </c>
      <c r="E167" s="81" t="e">
        <f>((D99*(1-'5.Closing Stock &amp; W Capital'!$D$15))+(C99*'5.Closing Stock &amp; W Capital'!$D$15))*$C167*E$124</f>
        <v>#REF!</v>
      </c>
      <c r="F167" s="81" t="e">
        <f>((E99*(1-'5.Closing Stock &amp; W Capital'!$D$15))+(D99*'5.Closing Stock &amp; W Capital'!$D$15))*$C$152*F$124</f>
        <v>#REF!</v>
      </c>
      <c r="G167" s="81" t="e">
        <f>((F99*(1-'5.Closing Stock &amp; W Capital'!$D$15))+(E99*'5.Closing Stock &amp; W Capital'!$D$15))*$C$152*G$124</f>
        <v>#REF!</v>
      </c>
      <c r="H167" s="81" t="e">
        <f>((G99*(1-'5.Closing Stock &amp; W Capital'!$D$15))+(F99*'5.Closing Stock &amp; W Capital'!$D$15))*$C$152*H$124</f>
        <v>#REF!</v>
      </c>
      <c r="I167" s="81" t="e">
        <f>((H99*(1-'5.Closing Stock &amp; W Capital'!$D$15))+(G99*'5.Closing Stock &amp; W Capital'!$D$15))*$C$152*I$124</f>
        <v>#REF!</v>
      </c>
      <c r="J167" s="81" t="e">
        <f>((I99*(1-'5.Closing Stock &amp; W Capital'!$D$15))+(H99*'5.Closing Stock &amp; W Capital'!$D$15))*$C$152*J$124</f>
        <v>#REF!</v>
      </c>
      <c r="K167" s="79"/>
      <c r="U167" s="79"/>
      <c r="V167" s="79"/>
      <c r="W167" s="79"/>
    </row>
    <row r="168" spans="1:23">
      <c r="A168" s="80" t="e">
        <f t="shared" si="53"/>
        <v>#REF!</v>
      </c>
      <c r="B168" s="80"/>
      <c r="C168" s="215"/>
      <c r="D168" s="81" t="e">
        <f>(C100*(1-'5.Closing Stock &amp; W Capital'!$D$15))*$C168*D$124</f>
        <v>#REF!</v>
      </c>
      <c r="E168" s="81" t="e">
        <f>((D100*(1-'5.Closing Stock &amp; W Capital'!$D$15))+(C100*'5.Closing Stock &amp; W Capital'!$D$15))*$C168*E$124</f>
        <v>#REF!</v>
      </c>
      <c r="F168" s="81" t="e">
        <f>((E100*(1-'5.Closing Stock &amp; W Capital'!$D$15))+(D100*'5.Closing Stock &amp; W Capital'!$D$15))*$C$152*F$124</f>
        <v>#REF!</v>
      </c>
      <c r="G168" s="81" t="e">
        <f>((F100*(1-'5.Closing Stock &amp; W Capital'!$D$15))+(E100*'5.Closing Stock &amp; W Capital'!$D$15))*$C$152*G$124</f>
        <v>#REF!</v>
      </c>
      <c r="H168" s="81" t="e">
        <f>((G100*(1-'5.Closing Stock &amp; W Capital'!$D$15))+(F100*'5.Closing Stock &amp; W Capital'!$D$15))*$C$152*H$124</f>
        <v>#REF!</v>
      </c>
      <c r="I168" s="81" t="e">
        <f>((H100*(1-'5.Closing Stock &amp; W Capital'!$D$15))+(G100*'5.Closing Stock &amp; W Capital'!$D$15))*$C$152*I$124</f>
        <v>#REF!</v>
      </c>
      <c r="J168" s="81" t="e">
        <f>((I100*(1-'5.Closing Stock &amp; W Capital'!$D$15))+(H100*'5.Closing Stock &amp; W Capital'!$D$15))*$C$152*J$124</f>
        <v>#REF!</v>
      </c>
      <c r="K168" s="79"/>
      <c r="U168" s="79"/>
      <c r="V168" s="79"/>
      <c r="W168" s="79"/>
    </row>
    <row r="169" spans="1:23">
      <c r="A169" s="80" t="e">
        <f t="shared" si="53"/>
        <v>#REF!</v>
      </c>
      <c r="B169" s="80"/>
      <c r="C169" s="215"/>
      <c r="D169" s="81" t="e">
        <f>(C101*(1-'5.Closing Stock &amp; W Capital'!$D$15))*$C169*D$124</f>
        <v>#REF!</v>
      </c>
      <c r="E169" s="81" t="e">
        <f>((D101*(1-'5.Closing Stock &amp; W Capital'!$D$15))+(C101*'5.Closing Stock &amp; W Capital'!$D$15))*$C169*E$124</f>
        <v>#REF!</v>
      </c>
      <c r="F169" s="81" t="e">
        <f>((E101*(1-'5.Closing Stock &amp; W Capital'!$D$15))+(D101*'5.Closing Stock &amp; W Capital'!$D$15))*$C$152*F$124</f>
        <v>#REF!</v>
      </c>
      <c r="G169" s="81" t="e">
        <f>((F101*(1-'5.Closing Stock &amp; W Capital'!$D$15))+(E101*'5.Closing Stock &amp; W Capital'!$D$15))*$C$152*G$124</f>
        <v>#REF!</v>
      </c>
      <c r="H169" s="81" t="e">
        <f>((G101*(1-'5.Closing Stock &amp; W Capital'!$D$15))+(F101*'5.Closing Stock &amp; W Capital'!$D$15))*$C$152*H$124</f>
        <v>#REF!</v>
      </c>
      <c r="I169" s="81" t="e">
        <f>((H101*(1-'5.Closing Stock &amp; W Capital'!$D$15))+(G101*'5.Closing Stock &amp; W Capital'!$D$15))*$C$152*I$124</f>
        <v>#REF!</v>
      </c>
      <c r="J169" s="81" t="e">
        <f>((I101*(1-'5.Closing Stock &amp; W Capital'!$D$15))+(H101*'5.Closing Stock &amp; W Capital'!$D$15))*$C$152*J$124</f>
        <v>#REF!</v>
      </c>
      <c r="K169" s="79"/>
      <c r="U169" s="79"/>
      <c r="V169" s="79"/>
      <c r="W169" s="79"/>
    </row>
    <row r="170" spans="1:23">
      <c r="A170" s="80" t="e">
        <f t="shared" si="53"/>
        <v>#REF!</v>
      </c>
      <c r="B170" s="80"/>
      <c r="C170" s="215"/>
      <c r="D170" s="81" t="e">
        <f>(C102*(1-'5.Closing Stock &amp; W Capital'!$D$15))*$C170*D$124</f>
        <v>#REF!</v>
      </c>
      <c r="E170" s="81" t="e">
        <f>((D102*(1-'5.Closing Stock &amp; W Capital'!$D$15))+(C102*'5.Closing Stock &amp; W Capital'!$D$15))*$C170*E$124</f>
        <v>#REF!</v>
      </c>
      <c r="F170" s="81" t="e">
        <f>((E102*(1-'5.Closing Stock &amp; W Capital'!$D$15))+(D102*'5.Closing Stock &amp; W Capital'!$D$15))*$C$152*F$124</f>
        <v>#REF!</v>
      </c>
      <c r="G170" s="81" t="e">
        <f>((F102*(1-'5.Closing Stock &amp; W Capital'!$D$15))+(E102*'5.Closing Stock &amp; W Capital'!$D$15))*$C$152*G$124</f>
        <v>#REF!</v>
      </c>
      <c r="H170" s="81" t="e">
        <f>((G102*(1-'5.Closing Stock &amp; W Capital'!$D$15))+(F102*'5.Closing Stock &amp; W Capital'!$D$15))*$C$152*H$124</f>
        <v>#REF!</v>
      </c>
      <c r="I170" s="81" t="e">
        <f>((H102*(1-'5.Closing Stock &amp; W Capital'!$D$15))+(G102*'5.Closing Stock &amp; W Capital'!$D$15))*$C$152*I$124</f>
        <v>#REF!</v>
      </c>
      <c r="J170" s="81" t="e">
        <f>((I102*(1-'5.Closing Stock &amp; W Capital'!$D$15))+(H102*'5.Closing Stock &amp; W Capital'!$D$15))*$C$152*J$124</f>
        <v>#REF!</v>
      </c>
      <c r="K170" s="79"/>
      <c r="U170" s="79"/>
      <c r="V170" s="79"/>
      <c r="W170" s="79"/>
    </row>
    <row r="171" spans="1:23">
      <c r="A171" s="80" t="e">
        <f t="shared" si="53"/>
        <v>#REF!</v>
      </c>
      <c r="B171" s="80"/>
      <c r="C171" s="215"/>
      <c r="D171" s="81" t="e">
        <f>(C103*(1-'5.Closing Stock &amp; W Capital'!$D$15))*$C171*D$124</f>
        <v>#REF!</v>
      </c>
      <c r="E171" s="81" t="e">
        <f>((D103*(1-'5.Closing Stock &amp; W Capital'!$D$15))+(C103*'5.Closing Stock &amp; W Capital'!$D$15))*$C171*E$124</f>
        <v>#REF!</v>
      </c>
      <c r="F171" s="81" t="e">
        <f>((E103*(1-'5.Closing Stock &amp; W Capital'!$D$15))+(D103*'5.Closing Stock &amp; W Capital'!$D$15))*$C$152*F$124</f>
        <v>#REF!</v>
      </c>
      <c r="G171" s="81" t="e">
        <f>((F103*(1-'5.Closing Stock &amp; W Capital'!$D$15))+(E103*'5.Closing Stock &amp; W Capital'!$D$15))*$C$152*G$124</f>
        <v>#REF!</v>
      </c>
      <c r="H171" s="81" t="e">
        <f>((G103*(1-'5.Closing Stock &amp; W Capital'!$D$15))+(F103*'5.Closing Stock &amp; W Capital'!$D$15))*$C$152*H$124</f>
        <v>#REF!</v>
      </c>
      <c r="I171" s="81" t="e">
        <f>((H103*(1-'5.Closing Stock &amp; W Capital'!$D$15))+(G103*'5.Closing Stock &amp; W Capital'!$D$15))*$C$152*I$124</f>
        <v>#REF!</v>
      </c>
      <c r="J171" s="81" t="e">
        <f>((I103*(1-'5.Closing Stock &amp; W Capital'!$D$15))+(H103*'5.Closing Stock &amp; W Capital'!$D$15))*$C$152*J$124</f>
        <v>#REF!</v>
      </c>
      <c r="K171" s="79"/>
      <c r="U171" s="79"/>
      <c r="V171" s="79"/>
      <c r="W171" s="79"/>
    </row>
    <row r="172" spans="1:23">
      <c r="A172" s="80" t="e">
        <f t="shared" si="53"/>
        <v>#REF!</v>
      </c>
      <c r="B172" s="80"/>
      <c r="C172" s="215"/>
      <c r="D172" s="81" t="e">
        <f>(C104*(1-'5.Closing Stock &amp; W Capital'!$D$15))*$C172*D$124</f>
        <v>#REF!</v>
      </c>
      <c r="E172" s="81" t="e">
        <f>((D104*(1-'5.Closing Stock &amp; W Capital'!$D$15))+(C104*'5.Closing Stock &amp; W Capital'!$D$15))*$C172*E$124</f>
        <v>#REF!</v>
      </c>
      <c r="F172" s="81" t="e">
        <f>((E104*(1-'5.Closing Stock &amp; W Capital'!$D$15))+(D104*'5.Closing Stock &amp; W Capital'!$D$15))*$C$152*F$124</f>
        <v>#REF!</v>
      </c>
      <c r="G172" s="81" t="e">
        <f>((F104*(1-'5.Closing Stock &amp; W Capital'!$D$15))+(E104*'5.Closing Stock &amp; W Capital'!$D$15))*$C$152*G$124</f>
        <v>#REF!</v>
      </c>
      <c r="H172" s="81" t="e">
        <f>((G104*(1-'5.Closing Stock &amp; W Capital'!$D$15))+(F104*'5.Closing Stock &amp; W Capital'!$D$15))*$C$152*H$124</f>
        <v>#REF!</v>
      </c>
      <c r="I172" s="81" t="e">
        <f>((H104*(1-'5.Closing Stock &amp; W Capital'!$D$15))+(G104*'5.Closing Stock &amp; W Capital'!$D$15))*$C$152*I$124</f>
        <v>#REF!</v>
      </c>
      <c r="J172" s="81" t="e">
        <f>((I104*(1-'5.Closing Stock &amp; W Capital'!$D$15))+(H104*'5.Closing Stock &amp; W Capital'!$D$15))*$C$152*J$124</f>
        <v>#REF!</v>
      </c>
      <c r="K172" s="79"/>
      <c r="U172" s="79"/>
      <c r="V172" s="79"/>
      <c r="W172" s="79"/>
    </row>
    <row r="173" spans="1:23">
      <c r="A173" s="80" t="e">
        <f t="shared" si="53"/>
        <v>#REF!</v>
      </c>
      <c r="B173" s="80"/>
      <c r="C173" s="215"/>
      <c r="D173" s="81" t="e">
        <f>(C105*(1-'5.Closing Stock &amp; W Capital'!$D$15))*$C173*D$124</f>
        <v>#REF!</v>
      </c>
      <c r="E173" s="81" t="e">
        <f>((D105*(1-'5.Closing Stock &amp; W Capital'!$D$15))+(C105*'5.Closing Stock &amp; W Capital'!$D$15))*$C173*E$124</f>
        <v>#REF!</v>
      </c>
      <c r="F173" s="81" t="e">
        <f>((E105*(1-'5.Closing Stock &amp; W Capital'!$D$15))+(D105*'5.Closing Stock &amp; W Capital'!$D$15))*$C$152*F$124</f>
        <v>#REF!</v>
      </c>
      <c r="G173" s="81" t="e">
        <f>((F105*(1-'5.Closing Stock &amp; W Capital'!$D$15))+(E105*'5.Closing Stock &amp; W Capital'!$D$15))*$C$152*G$124</f>
        <v>#REF!</v>
      </c>
      <c r="H173" s="81" t="e">
        <f>((G105*(1-'5.Closing Stock &amp; W Capital'!$D$15))+(F105*'5.Closing Stock &amp; W Capital'!$D$15))*$C$152*H$124</f>
        <v>#REF!</v>
      </c>
      <c r="I173" s="81" t="e">
        <f>((H105*(1-'5.Closing Stock &amp; W Capital'!$D$15))+(G105*'5.Closing Stock &amp; W Capital'!$D$15))*$C$152*I$124</f>
        <v>#REF!</v>
      </c>
      <c r="J173" s="81" t="e">
        <f>((I105*(1-'5.Closing Stock &amp; W Capital'!$D$15))+(H105*'5.Closing Stock &amp; W Capital'!$D$15))*$C$152*J$124</f>
        <v>#REF!</v>
      </c>
      <c r="K173" s="79"/>
      <c r="U173" s="79"/>
      <c r="V173" s="79"/>
      <c r="W173" s="79"/>
    </row>
    <row r="174" spans="1:23">
      <c r="A174" s="80" t="e">
        <f t="shared" si="53"/>
        <v>#REF!</v>
      </c>
      <c r="B174" s="80"/>
      <c r="C174" s="215"/>
      <c r="D174" s="81" t="e">
        <f>(C106*(1-'5.Closing Stock &amp; W Capital'!$D$15))*$C174*D$124</f>
        <v>#REF!</v>
      </c>
      <c r="E174" s="81" t="e">
        <f>((D106*(1-'5.Closing Stock &amp; W Capital'!$D$15))+(C106*'5.Closing Stock &amp; W Capital'!$D$15))*$C174*E$124</f>
        <v>#REF!</v>
      </c>
      <c r="F174" s="81" t="e">
        <f>((E106*(1-'5.Closing Stock &amp; W Capital'!$D$15))+(D106*'5.Closing Stock &amp; W Capital'!$D$15))*$C$152*F$124</f>
        <v>#REF!</v>
      </c>
      <c r="G174" s="81" t="e">
        <f>((F106*(1-'5.Closing Stock &amp; W Capital'!$D$15))+(E106*'5.Closing Stock &amp; W Capital'!$D$15))*$C$152*G$124</f>
        <v>#REF!</v>
      </c>
      <c r="H174" s="81" t="e">
        <f>((G106*(1-'5.Closing Stock &amp; W Capital'!$D$15))+(F106*'5.Closing Stock &amp; W Capital'!$D$15))*$C$152*H$124</f>
        <v>#REF!</v>
      </c>
      <c r="I174" s="81" t="e">
        <f>((H106*(1-'5.Closing Stock &amp; W Capital'!$D$15))+(G106*'5.Closing Stock &amp; W Capital'!$D$15))*$C$152*I$124</f>
        <v>#REF!</v>
      </c>
      <c r="J174" s="81" t="e">
        <f>((I106*(1-'5.Closing Stock &amp; W Capital'!$D$15))+(H106*'5.Closing Stock &amp; W Capital'!$D$15))*$C$152*J$124</f>
        <v>#REF!</v>
      </c>
      <c r="K174" s="79"/>
      <c r="U174" s="79"/>
      <c r="V174" s="79"/>
      <c r="W174" s="79"/>
    </row>
    <row r="175" spans="1:23">
      <c r="A175" s="80" t="e">
        <f t="shared" si="53"/>
        <v>#REF!</v>
      </c>
      <c r="B175" s="80"/>
      <c r="C175" s="215"/>
      <c r="D175" s="81" t="e">
        <f>(C107*(1-'5.Closing Stock &amp; W Capital'!$D$15))*$C175*D$124</f>
        <v>#REF!</v>
      </c>
      <c r="E175" s="81" t="e">
        <f>((D107*(1-'5.Closing Stock &amp; W Capital'!$D$15))+(C107*'5.Closing Stock &amp; W Capital'!$D$15))*$C175*E$124</f>
        <v>#REF!</v>
      </c>
      <c r="F175" s="81" t="e">
        <f>((E107*(1-'5.Closing Stock &amp; W Capital'!$D$15))+(D107*'5.Closing Stock &amp; W Capital'!$D$15))*$C$152*F$124</f>
        <v>#REF!</v>
      </c>
      <c r="G175" s="81" t="e">
        <f>((F107*(1-'5.Closing Stock &amp; W Capital'!$D$15))+(E107*'5.Closing Stock &amp; W Capital'!$D$15))*$C$152*G$124</f>
        <v>#REF!</v>
      </c>
      <c r="H175" s="81" t="e">
        <f>((G107*(1-'5.Closing Stock &amp; W Capital'!$D$15))+(F107*'5.Closing Stock &amp; W Capital'!$D$15))*$C$152*H$124</f>
        <v>#REF!</v>
      </c>
      <c r="I175" s="81" t="e">
        <f>((H107*(1-'5.Closing Stock &amp; W Capital'!$D$15))+(G107*'5.Closing Stock &amp; W Capital'!$D$15))*$C$152*I$124</f>
        <v>#REF!</v>
      </c>
      <c r="J175" s="81" t="e">
        <f>((I107*(1-'5.Closing Stock &amp; W Capital'!$D$15))+(H107*'5.Closing Stock &amp; W Capital'!$D$15))*$C$152*J$124</f>
        <v>#REF!</v>
      </c>
      <c r="K175" s="79"/>
      <c r="U175" s="79"/>
      <c r="V175" s="79"/>
      <c r="W175" s="79"/>
    </row>
    <row r="176" spans="1:23">
      <c r="A176" s="80" t="e">
        <f t="shared" si="53"/>
        <v>#REF!</v>
      </c>
      <c r="B176" s="80"/>
      <c r="C176" s="215"/>
      <c r="D176" s="81" t="e">
        <f>(C108*(1-'5.Closing Stock &amp; W Capital'!$D$15))*$C176*D$124</f>
        <v>#REF!</v>
      </c>
      <c r="E176" s="81" t="e">
        <f>((D108*(1-'5.Closing Stock &amp; W Capital'!$D$15))+(C108*'5.Closing Stock &amp; W Capital'!$D$15))*$C176*E$124</f>
        <v>#REF!</v>
      </c>
      <c r="F176" s="81" t="e">
        <f>((E108*(1-'5.Closing Stock &amp; W Capital'!$D$15))+(D108*'5.Closing Stock &amp; W Capital'!$D$15))*$C$152*F$124</f>
        <v>#REF!</v>
      </c>
      <c r="G176" s="81" t="e">
        <f>((F108*(1-'5.Closing Stock &amp; W Capital'!$D$15))+(E108*'5.Closing Stock &amp; W Capital'!$D$15))*$C$152*G$124</f>
        <v>#REF!</v>
      </c>
      <c r="H176" s="81" t="e">
        <f>((G108*(1-'5.Closing Stock &amp; W Capital'!$D$15))+(F108*'5.Closing Stock &amp; W Capital'!$D$15))*$C$152*H$124</f>
        <v>#REF!</v>
      </c>
      <c r="I176" s="81" t="e">
        <f>((H108*(1-'5.Closing Stock &amp; W Capital'!$D$15))+(G108*'5.Closing Stock &amp; W Capital'!$D$15))*$C$152*I$124</f>
        <v>#REF!</v>
      </c>
      <c r="J176" s="81" t="e">
        <f>((I108*(1-'5.Closing Stock &amp; W Capital'!$D$15))+(H108*'5.Closing Stock &amp; W Capital'!$D$15))*$C$152*J$124</f>
        <v>#REF!</v>
      </c>
      <c r="K176" s="79"/>
      <c r="U176" s="79"/>
      <c r="V176" s="79"/>
      <c r="W176" s="79"/>
    </row>
    <row r="177" spans="1:23">
      <c r="A177" s="80" t="e">
        <f t="shared" si="53"/>
        <v>#REF!</v>
      </c>
      <c r="B177" s="80"/>
      <c r="C177" s="215"/>
      <c r="D177" s="81" t="e">
        <f>(C109*(1-'5.Closing Stock &amp; W Capital'!$D$15))*$C177*D$124</f>
        <v>#REF!</v>
      </c>
      <c r="E177" s="81" t="e">
        <f>((D109*(1-'5.Closing Stock &amp; W Capital'!$D$15))+(C109*'5.Closing Stock &amp; W Capital'!$D$15))*$C177*E$124</f>
        <v>#REF!</v>
      </c>
      <c r="F177" s="81" t="e">
        <f>((E109*(1-'5.Closing Stock &amp; W Capital'!$D$15))+(D109*'5.Closing Stock &amp; W Capital'!$D$15))*$C$152*F$124</f>
        <v>#REF!</v>
      </c>
      <c r="G177" s="81" t="e">
        <f>((F109*(1-'5.Closing Stock &amp; W Capital'!$D$15))+(E109*'5.Closing Stock &amp; W Capital'!$D$15))*$C$152*G$124</f>
        <v>#REF!</v>
      </c>
      <c r="H177" s="81" t="e">
        <f>((G109*(1-'5.Closing Stock &amp; W Capital'!$D$15))+(F109*'5.Closing Stock &amp; W Capital'!$D$15))*$C$152*H$124</f>
        <v>#REF!</v>
      </c>
      <c r="I177" s="81" t="e">
        <f>((H109*(1-'5.Closing Stock &amp; W Capital'!$D$15))+(G109*'5.Closing Stock &amp; W Capital'!$D$15))*$C$152*I$124</f>
        <v>#REF!</v>
      </c>
      <c r="J177" s="81" t="e">
        <f>((I109*(1-'5.Closing Stock &amp; W Capital'!$D$15))+(H109*'5.Closing Stock &amp; W Capital'!$D$15))*$C$152*J$124</f>
        <v>#REF!</v>
      </c>
      <c r="K177" s="79"/>
      <c r="U177" s="79"/>
      <c r="V177" s="79"/>
      <c r="W177" s="79"/>
    </row>
    <row r="178" spans="1:23">
      <c r="A178" s="80" t="e">
        <f t="shared" si="53"/>
        <v>#REF!</v>
      </c>
      <c r="B178" s="80"/>
      <c r="C178" s="215"/>
      <c r="D178" s="81" t="e">
        <f>(C110*(1-'5.Closing Stock &amp; W Capital'!$D$15))*$C178*D$124</f>
        <v>#REF!</v>
      </c>
      <c r="E178" s="81" t="e">
        <f>((D110*(1-'5.Closing Stock &amp; W Capital'!$D$15))+(C110*'5.Closing Stock &amp; W Capital'!$D$15))*$C178*E$124</f>
        <v>#REF!</v>
      </c>
      <c r="F178" s="81" t="e">
        <f>((E110*(1-'5.Closing Stock &amp; W Capital'!$D$15))+(D110*'5.Closing Stock &amp; W Capital'!$D$15))*$C$152*F$124</f>
        <v>#REF!</v>
      </c>
      <c r="G178" s="81" t="e">
        <f>((F110*(1-'5.Closing Stock &amp; W Capital'!$D$15))+(E110*'5.Closing Stock &amp; W Capital'!$D$15))*$C$152*G$124</f>
        <v>#REF!</v>
      </c>
      <c r="H178" s="81" t="e">
        <f>((G110*(1-'5.Closing Stock &amp; W Capital'!$D$15))+(F110*'5.Closing Stock &amp; W Capital'!$D$15))*$C$152*H$124</f>
        <v>#REF!</v>
      </c>
      <c r="I178" s="81" t="e">
        <f>((H110*(1-'5.Closing Stock &amp; W Capital'!$D$15))+(G110*'5.Closing Stock &amp; W Capital'!$D$15))*$C$152*I$124</f>
        <v>#REF!</v>
      </c>
      <c r="J178" s="81" t="e">
        <f>((I110*(1-'5.Closing Stock &amp; W Capital'!$D$15))+(H110*'5.Closing Stock &amp; W Capital'!$D$15))*$C$152*J$124</f>
        <v>#REF!</v>
      </c>
      <c r="K178" s="79"/>
      <c r="U178" s="79"/>
      <c r="V178" s="79"/>
      <c r="W178" s="79"/>
    </row>
    <row r="179" spans="1:23">
      <c r="A179" s="80">
        <f t="shared" si="53"/>
        <v>0</v>
      </c>
      <c r="B179" s="80"/>
      <c r="C179" s="215"/>
      <c r="D179" s="81"/>
      <c r="E179" s="81"/>
      <c r="F179" s="81"/>
      <c r="G179" s="81"/>
      <c r="H179" s="81"/>
      <c r="I179" s="81"/>
      <c r="J179" s="81"/>
      <c r="K179" s="79"/>
      <c r="U179" s="79"/>
      <c r="V179" s="79"/>
      <c r="W179" s="79"/>
    </row>
    <row r="180" spans="1:23">
      <c r="A180" s="80"/>
      <c r="B180" s="80"/>
      <c r="C180" s="81"/>
      <c r="D180" s="81"/>
      <c r="E180" s="81"/>
      <c r="F180" s="81"/>
      <c r="G180" s="81"/>
      <c r="H180" s="81"/>
      <c r="I180" s="81"/>
      <c r="J180" s="81"/>
      <c r="K180" s="79"/>
      <c r="U180" s="79"/>
      <c r="V180" s="79"/>
      <c r="W180" s="79"/>
    </row>
    <row r="181" spans="1:23">
      <c r="A181" s="80" t="s">
        <v>278</v>
      </c>
      <c r="B181" s="80"/>
      <c r="C181" s="81"/>
      <c r="D181" s="81"/>
      <c r="E181" s="81"/>
      <c r="F181" s="81"/>
      <c r="G181" s="81"/>
      <c r="H181" s="81"/>
      <c r="I181" s="81"/>
      <c r="J181" s="81"/>
      <c r="K181" s="79"/>
      <c r="U181" s="79"/>
      <c r="V181" s="79"/>
      <c r="W181" s="79"/>
    </row>
    <row r="182" spans="1:23">
      <c r="A182" s="80" t="s">
        <v>386</v>
      </c>
      <c r="B182" s="80"/>
      <c r="C182" s="215">
        <f>350/50</f>
        <v>7</v>
      </c>
      <c r="D182" s="81" t="e">
        <f>(C114*(1-'5.Closing Stock &amp; W Capital'!$D$15))*$C$182*D124</f>
        <v>#REF!</v>
      </c>
      <c r="E182" s="81" t="e">
        <f>((D114*(1-'5.Closing Stock &amp; W Capital'!$D$15))+(C114*'5.Closing Stock &amp; W Capital'!$D$15))*$C$182*E124</f>
        <v>#REF!</v>
      </c>
      <c r="F182" s="81" t="e">
        <f>((E114*(1-'5.Closing Stock &amp; W Capital'!$D$15))+(D114*'5.Closing Stock &amp; W Capital'!$D$15))*$C$182*F124</f>
        <v>#REF!</v>
      </c>
      <c r="G182" s="81" t="e">
        <f>((F114*(1-'5.Closing Stock &amp; W Capital'!$D$15))+(E114*'5.Closing Stock &amp; W Capital'!$D$15))*$C$182*G124</f>
        <v>#REF!</v>
      </c>
      <c r="H182" s="81" t="e">
        <f>((G114*(1-'5.Closing Stock &amp; W Capital'!$D$15))+(F114*'5.Closing Stock &amp; W Capital'!$D$15))*$C$182*H124</f>
        <v>#REF!</v>
      </c>
      <c r="I182" s="81" t="e">
        <f>((H114*(1-'5.Closing Stock &amp; W Capital'!$D$15))+(G114*'5.Closing Stock &amp; W Capital'!$D$15))*$C$182*I124</f>
        <v>#REF!</v>
      </c>
      <c r="J182" s="81" t="e">
        <f>((I114*(1-'5.Closing Stock &amp; W Capital'!$D$15))+(H114*'5.Closing Stock &amp; W Capital'!$D$15))*$C$182*J124</f>
        <v>#REF!</v>
      </c>
      <c r="K182" s="79"/>
      <c r="U182" s="79"/>
      <c r="V182" s="79"/>
      <c r="W182" s="79"/>
    </row>
    <row r="183" spans="1:23">
      <c r="A183" s="80" t="s">
        <v>173</v>
      </c>
      <c r="B183" s="80"/>
      <c r="C183" s="215">
        <v>8</v>
      </c>
      <c r="D183" s="81" t="e">
        <f>(C115*(1-'5.Closing Stock &amp; W Capital'!$D$15))*$C$183*D124</f>
        <v>#REF!</v>
      </c>
      <c r="E183" s="81" t="e">
        <f>((D115*(1-'5.Closing Stock &amp; W Capital'!$D$15))+(C115*'5.Closing Stock &amp; W Capital'!$D$15))*$C$183*E124</f>
        <v>#REF!</v>
      </c>
      <c r="F183" s="81" t="e">
        <f>((E115*(1-'5.Closing Stock &amp; W Capital'!$D$15))+(D115*'5.Closing Stock &amp; W Capital'!$D$15))*$C$183*F124</f>
        <v>#REF!</v>
      </c>
      <c r="G183" s="81" t="e">
        <f>((F115*(1-'5.Closing Stock &amp; W Capital'!$D$15))+(E115*'5.Closing Stock &amp; W Capital'!$D$15))*$C$183*G124</f>
        <v>#REF!</v>
      </c>
      <c r="H183" s="81" t="e">
        <f>((G115*(1-'5.Closing Stock &amp; W Capital'!$D$15))+(F115*'5.Closing Stock &amp; W Capital'!$D$15))*$C$183*H124</f>
        <v>#REF!</v>
      </c>
      <c r="I183" s="81" t="e">
        <f>((H115*(1-'5.Closing Stock &amp; W Capital'!$D$15))+(G115*'5.Closing Stock &amp; W Capital'!$D$15))*$C$183*I124</f>
        <v>#REF!</v>
      </c>
      <c r="J183" s="81" t="e">
        <f>((I115*(1-'5.Closing Stock &amp; W Capital'!$D$15))+(H115*'5.Closing Stock &amp; W Capital'!$D$15))*$C$183*J124</f>
        <v>#REF!</v>
      </c>
      <c r="K183" s="79"/>
      <c r="U183" s="79"/>
      <c r="V183" s="79"/>
      <c r="W183" s="79"/>
    </row>
    <row r="184" spans="1:23">
      <c r="A184" s="80" t="s">
        <v>175</v>
      </c>
      <c r="B184" s="80"/>
      <c r="C184" s="215">
        <v>30</v>
      </c>
      <c r="D184" s="81" t="e">
        <f>(C116*(1-'5.Closing Stock &amp; W Capital'!$D$15))*$C$184*D124</f>
        <v>#REF!</v>
      </c>
      <c r="E184" s="81" t="e">
        <f>((D116*(1-'5.Closing Stock &amp; W Capital'!$D$15))+(C116*'5.Closing Stock &amp; W Capital'!$D$15))*$C$184*E124</f>
        <v>#REF!</v>
      </c>
      <c r="F184" s="81" t="e">
        <f>((E116*(1-'5.Closing Stock &amp; W Capital'!$D$15))+(D116*'5.Closing Stock &amp; W Capital'!$D$15))*$C$184*F124</f>
        <v>#REF!</v>
      </c>
      <c r="G184" s="81" t="e">
        <f>((F116*(1-'5.Closing Stock &amp; W Capital'!$D$15))+(E116*'5.Closing Stock &amp; W Capital'!$D$15))*$C$184*G124</f>
        <v>#REF!</v>
      </c>
      <c r="H184" s="81" t="e">
        <f>((G116*(1-'5.Closing Stock &amp; W Capital'!$D$15))+(F116*'5.Closing Stock &amp; W Capital'!$D$15))*$C$184*H124</f>
        <v>#REF!</v>
      </c>
      <c r="I184" s="81" t="e">
        <f>((H116*(1-'5.Closing Stock &amp; W Capital'!$D$15))+(G116*'5.Closing Stock &amp; W Capital'!$D$15))*$C$184*I124</f>
        <v>#REF!</v>
      </c>
      <c r="J184" s="81" t="e">
        <f>((I116*(1-'5.Closing Stock &amp; W Capital'!$D$15))+(H116*'5.Closing Stock &amp; W Capital'!$D$15))*$C$184*J124</f>
        <v>#REF!</v>
      </c>
      <c r="K184" s="79"/>
      <c r="U184" s="79"/>
      <c r="V184" s="79"/>
      <c r="W184" s="79"/>
    </row>
    <row r="185" spans="1:23">
      <c r="A185" s="80"/>
      <c r="B185" s="80"/>
      <c r="C185" s="81"/>
      <c r="D185" s="81"/>
      <c r="E185" s="81"/>
      <c r="F185" s="81"/>
      <c r="G185" s="81"/>
      <c r="H185" s="81"/>
      <c r="I185" s="81"/>
      <c r="J185" s="81"/>
      <c r="K185" s="79"/>
      <c r="U185" s="79"/>
      <c r="V185" s="79"/>
      <c r="W185" s="79"/>
    </row>
    <row r="186" spans="1:23">
      <c r="A186" s="80" t="s">
        <v>174</v>
      </c>
      <c r="B186" s="80"/>
      <c r="C186" s="81"/>
      <c r="D186" s="81"/>
      <c r="E186" s="81"/>
      <c r="F186" s="81"/>
      <c r="G186" s="81"/>
      <c r="H186" s="81"/>
      <c r="I186" s="81"/>
      <c r="J186" s="81"/>
      <c r="K186" s="79"/>
      <c r="U186" s="79"/>
      <c r="V186" s="79"/>
      <c r="W186" s="79"/>
    </row>
    <row r="187" spans="1:23">
      <c r="A187" s="80" t="s">
        <v>180</v>
      </c>
      <c r="B187" s="80"/>
      <c r="C187" s="215">
        <v>3000</v>
      </c>
      <c r="D187" s="81" t="e">
        <f>(C118*(1-'5.Closing Stock &amp; W Capital'!$D$15))*$C$187*D124</f>
        <v>#REF!</v>
      </c>
      <c r="E187" s="81" t="e">
        <f>((D118*(1-'5.Closing Stock &amp; W Capital'!$D$15))+(C118*'5.Closing Stock &amp; W Capital'!$D$15))*$C$187*E124</f>
        <v>#REF!</v>
      </c>
      <c r="F187" s="81" t="e">
        <f>((E118*(1-'5.Closing Stock &amp; W Capital'!$D$15))+(D118*'5.Closing Stock &amp; W Capital'!$D$15))*$C$187*F124</f>
        <v>#REF!</v>
      </c>
      <c r="G187" s="81" t="e">
        <f>((F118*(1-'5.Closing Stock &amp; W Capital'!$D$15))+(E118*'5.Closing Stock &amp; W Capital'!$D$15))*$C$187*G124</f>
        <v>#REF!</v>
      </c>
      <c r="H187" s="81" t="e">
        <f>((G118*(1-'5.Closing Stock &amp; W Capital'!$D$15))+(F118*'5.Closing Stock &amp; W Capital'!$D$15))*$C$187*H124</f>
        <v>#REF!</v>
      </c>
      <c r="I187" s="81" t="e">
        <f>((H118*(1-'5.Closing Stock &amp; W Capital'!$D$15))+(G118*'5.Closing Stock &amp; W Capital'!$D$15))*$C$187*I124</f>
        <v>#REF!</v>
      </c>
      <c r="J187" s="81" t="e">
        <f>((I118*(1-'5.Closing Stock &amp; W Capital'!$D$15))+(H118*'5.Closing Stock &amp; W Capital'!$D$15))*$C$187*J124</f>
        <v>#REF!</v>
      </c>
      <c r="K187" s="79"/>
      <c r="U187" s="169"/>
      <c r="V187" s="169"/>
      <c r="W187" s="169"/>
    </row>
    <row r="188" spans="1:23">
      <c r="A188" s="80" t="s">
        <v>181</v>
      </c>
      <c r="B188" s="80"/>
      <c r="C188" s="215">
        <v>2200</v>
      </c>
      <c r="D188" s="81" t="e">
        <f>(C119*(1-'5.Closing Stock &amp; W Capital'!$D$15))*$C$188*D124</f>
        <v>#REF!</v>
      </c>
      <c r="E188" s="81" t="e">
        <f>((D119*(1-'5.Closing Stock &amp; W Capital'!$D$15))+(C119*'5.Closing Stock &amp; W Capital'!$D$15))*$C$188*E124</f>
        <v>#REF!</v>
      </c>
      <c r="F188" s="81" t="e">
        <f>((E119*(1-'5.Closing Stock &amp; W Capital'!$D$15))+(D119*'5.Closing Stock &amp; W Capital'!$D$15))*$C$188*F124</f>
        <v>#REF!</v>
      </c>
      <c r="G188" s="81" t="e">
        <f>((F119*(1-'5.Closing Stock &amp; W Capital'!$D$15))+(E119*'5.Closing Stock &amp; W Capital'!$D$15))*$C$188*G124</f>
        <v>#REF!</v>
      </c>
      <c r="H188" s="81" t="e">
        <f>((G119*(1-'5.Closing Stock &amp; W Capital'!$D$15))+(F119*'5.Closing Stock &amp; W Capital'!$D$15))*$C$188*H124</f>
        <v>#REF!</v>
      </c>
      <c r="I188" s="81" t="e">
        <f>((H119*(1-'5.Closing Stock &amp; W Capital'!$D$15))+(G119*'5.Closing Stock &amp; W Capital'!$D$15))*$C$188*I124</f>
        <v>#REF!</v>
      </c>
      <c r="J188" s="81" t="e">
        <f>((I119*(1-'5.Closing Stock &amp; W Capital'!$D$15))+(H119*'5.Closing Stock &amp; W Capital'!$D$15))*$C$188*J124</f>
        <v>#REF!</v>
      </c>
      <c r="K188" s="79"/>
      <c r="U188" s="79"/>
      <c r="V188" s="79"/>
      <c r="W188" s="79"/>
    </row>
    <row r="189" spans="1:23">
      <c r="A189" s="80"/>
      <c r="B189" s="80"/>
      <c r="C189" s="81"/>
      <c r="D189" s="81"/>
      <c r="E189" s="81"/>
      <c r="F189" s="81"/>
      <c r="G189" s="81"/>
      <c r="H189" s="81"/>
      <c r="I189" s="81"/>
      <c r="J189" s="81"/>
      <c r="K189" s="79"/>
      <c r="U189" s="79"/>
      <c r="V189" s="79"/>
      <c r="W189" s="79"/>
    </row>
    <row r="190" spans="1:23">
      <c r="A190" s="80"/>
      <c r="B190" s="80"/>
      <c r="C190" s="81"/>
      <c r="D190" s="81"/>
      <c r="E190" s="81"/>
      <c r="F190" s="81"/>
      <c r="G190" s="81"/>
      <c r="H190" s="81"/>
      <c r="I190" s="81"/>
      <c r="J190" s="81"/>
      <c r="K190" s="79"/>
      <c r="U190" s="79"/>
      <c r="V190" s="79"/>
      <c r="W190" s="79"/>
    </row>
    <row r="191" spans="1:23">
      <c r="A191" s="82" t="s">
        <v>138</v>
      </c>
      <c r="B191" s="82"/>
      <c r="C191" s="98"/>
      <c r="D191" s="98" t="e">
        <f t="shared" ref="D191:J191" si="54">SUM(D130:D188)</f>
        <v>#REF!</v>
      </c>
      <c r="E191" s="98" t="e">
        <f t="shared" si="54"/>
        <v>#REF!</v>
      </c>
      <c r="F191" s="98" t="e">
        <f t="shared" si="54"/>
        <v>#REF!</v>
      </c>
      <c r="G191" s="98" t="e">
        <f t="shared" si="54"/>
        <v>#REF!</v>
      </c>
      <c r="H191" s="98" t="e">
        <f t="shared" si="54"/>
        <v>#REF!</v>
      </c>
      <c r="I191" s="98" t="e">
        <f t="shared" si="54"/>
        <v>#REF!</v>
      </c>
      <c r="J191" s="98" t="e">
        <f t="shared" si="54"/>
        <v>#REF!</v>
      </c>
      <c r="K191" s="79"/>
      <c r="U191" s="79"/>
      <c r="V191" s="79"/>
      <c r="W191" s="79"/>
    </row>
    <row r="192" spans="1:23">
      <c r="A192" s="80"/>
      <c r="B192" s="80"/>
      <c r="C192" s="81"/>
      <c r="D192" s="81"/>
      <c r="E192" s="81"/>
      <c r="F192" s="81"/>
      <c r="G192" s="81"/>
      <c r="H192" s="81"/>
      <c r="I192" s="81"/>
      <c r="J192" s="81"/>
      <c r="K192" s="79"/>
      <c r="U192" s="79"/>
      <c r="V192" s="79"/>
      <c r="W192" s="79"/>
    </row>
    <row r="193" spans="1:23">
      <c r="A193" s="80"/>
      <c r="B193" s="80"/>
      <c r="C193" s="81"/>
      <c r="D193" s="81"/>
      <c r="E193" s="81"/>
      <c r="F193" s="81"/>
      <c r="G193" s="81"/>
      <c r="H193" s="81"/>
      <c r="I193" s="81"/>
      <c r="J193" s="81"/>
      <c r="K193" s="79"/>
      <c r="U193" s="79"/>
      <c r="V193" s="79"/>
      <c r="W193" s="79"/>
    </row>
    <row r="194" spans="1:23">
      <c r="A194" s="82" t="s">
        <v>137</v>
      </c>
      <c r="B194" s="82"/>
      <c r="C194" s="81"/>
      <c r="D194" s="81"/>
      <c r="E194" s="81"/>
      <c r="F194" s="81"/>
      <c r="G194" s="81"/>
      <c r="H194" s="81"/>
      <c r="I194" s="81"/>
      <c r="J194" s="81"/>
      <c r="K194" s="79"/>
      <c r="U194" s="79"/>
      <c r="V194" s="79"/>
      <c r="W194" s="79"/>
    </row>
    <row r="195" spans="1:23">
      <c r="A195" s="82" t="str">
        <f>A128</f>
        <v>Seeds (Rate/KG)</v>
      </c>
      <c r="B195" s="82"/>
      <c r="C195" s="81"/>
      <c r="D195" s="81"/>
      <c r="E195" s="81"/>
      <c r="F195" s="81"/>
      <c r="G195" s="81"/>
      <c r="H195" s="81"/>
      <c r="I195" s="81"/>
      <c r="J195" s="81"/>
      <c r="K195" s="79"/>
      <c r="U195" s="79"/>
      <c r="V195" s="79"/>
      <c r="W195" s="79"/>
    </row>
    <row r="196" spans="1:23">
      <c r="A196" s="79" t="s">
        <v>301</v>
      </c>
      <c r="B196" s="79"/>
      <c r="C196" s="79"/>
      <c r="D196" s="79"/>
      <c r="E196" s="79"/>
      <c r="F196" s="79"/>
      <c r="G196" s="79"/>
      <c r="H196" s="79"/>
      <c r="I196" s="79"/>
      <c r="J196" s="79"/>
      <c r="K196" s="79"/>
      <c r="U196" s="79"/>
      <c r="V196" s="79"/>
      <c r="W196" s="79"/>
    </row>
    <row r="197" spans="1:23">
      <c r="A197" s="80" t="e">
        <f t="shared" ref="A197:A238" si="55">A130</f>
        <v>#REF!</v>
      </c>
      <c r="B197" s="79"/>
      <c r="C197" s="215">
        <v>85</v>
      </c>
      <c r="D197" s="81" t="e">
        <f t="shared" ref="D197:J206" si="56">C62*$C197*D$124</f>
        <v>#REF!</v>
      </c>
      <c r="E197" s="81" t="e">
        <f t="shared" si="56"/>
        <v>#REF!</v>
      </c>
      <c r="F197" s="81" t="e">
        <f t="shared" si="56"/>
        <v>#REF!</v>
      </c>
      <c r="G197" s="81" t="e">
        <f t="shared" si="56"/>
        <v>#REF!</v>
      </c>
      <c r="H197" s="81" t="e">
        <f t="shared" si="56"/>
        <v>#REF!</v>
      </c>
      <c r="I197" s="81" t="e">
        <f t="shared" si="56"/>
        <v>#REF!</v>
      </c>
      <c r="J197" s="81" t="e">
        <f t="shared" si="56"/>
        <v>#REF!</v>
      </c>
      <c r="K197" s="79"/>
      <c r="U197" s="79"/>
      <c r="V197" s="79"/>
      <c r="W197" s="79"/>
    </row>
    <row r="198" spans="1:23">
      <c r="A198" s="80" t="e">
        <f t="shared" si="55"/>
        <v>#REF!</v>
      </c>
      <c r="B198" s="80"/>
      <c r="C198" s="215">
        <v>75</v>
      </c>
      <c r="D198" s="81" t="e">
        <f t="shared" si="56"/>
        <v>#REF!</v>
      </c>
      <c r="E198" s="81" t="e">
        <f t="shared" si="56"/>
        <v>#REF!</v>
      </c>
      <c r="F198" s="81" t="e">
        <f t="shared" si="56"/>
        <v>#REF!</v>
      </c>
      <c r="G198" s="81" t="e">
        <f t="shared" si="56"/>
        <v>#REF!</v>
      </c>
      <c r="H198" s="81" t="e">
        <f t="shared" si="56"/>
        <v>#REF!</v>
      </c>
      <c r="I198" s="81" t="e">
        <f t="shared" si="56"/>
        <v>#REF!</v>
      </c>
      <c r="J198" s="81" t="e">
        <f t="shared" si="56"/>
        <v>#REF!</v>
      </c>
      <c r="K198" s="79"/>
      <c r="U198" s="79"/>
      <c r="V198" s="79"/>
      <c r="W198" s="79"/>
    </row>
    <row r="199" spans="1:23">
      <c r="A199" s="80" t="e">
        <f t="shared" si="55"/>
        <v>#REF!</v>
      </c>
      <c r="B199" s="80"/>
      <c r="C199" s="215">
        <v>57</v>
      </c>
      <c r="D199" s="81" t="e">
        <f t="shared" si="56"/>
        <v>#REF!</v>
      </c>
      <c r="E199" s="81" t="e">
        <f t="shared" si="56"/>
        <v>#REF!</v>
      </c>
      <c r="F199" s="81" t="e">
        <f t="shared" si="56"/>
        <v>#REF!</v>
      </c>
      <c r="G199" s="81" t="e">
        <f t="shared" si="56"/>
        <v>#REF!</v>
      </c>
      <c r="H199" s="81" t="e">
        <f t="shared" si="56"/>
        <v>#REF!</v>
      </c>
      <c r="I199" s="81" t="e">
        <f t="shared" si="56"/>
        <v>#REF!</v>
      </c>
      <c r="J199" s="81" t="e">
        <f t="shared" si="56"/>
        <v>#REF!</v>
      </c>
      <c r="K199" s="79"/>
      <c r="U199" s="79"/>
      <c r="V199" s="79"/>
      <c r="W199" s="79"/>
    </row>
    <row r="200" spans="1:23">
      <c r="A200" s="80" t="e">
        <f t="shared" si="55"/>
        <v>#REF!</v>
      </c>
      <c r="B200" s="80"/>
      <c r="C200" s="215">
        <v>80</v>
      </c>
      <c r="D200" s="81" t="e">
        <f t="shared" si="56"/>
        <v>#REF!</v>
      </c>
      <c r="E200" s="81" t="e">
        <f t="shared" si="56"/>
        <v>#REF!</v>
      </c>
      <c r="F200" s="81" t="e">
        <f t="shared" si="56"/>
        <v>#REF!</v>
      </c>
      <c r="G200" s="81" t="e">
        <f t="shared" si="56"/>
        <v>#REF!</v>
      </c>
      <c r="H200" s="81" t="e">
        <f t="shared" si="56"/>
        <v>#REF!</v>
      </c>
      <c r="I200" s="81" t="e">
        <f t="shared" si="56"/>
        <v>#REF!</v>
      </c>
      <c r="J200" s="81" t="e">
        <f t="shared" si="56"/>
        <v>#REF!</v>
      </c>
      <c r="K200" s="79"/>
      <c r="L200" s="79"/>
      <c r="M200" s="79"/>
      <c r="N200" s="79"/>
      <c r="O200" s="79"/>
      <c r="P200" s="79"/>
      <c r="Q200" s="79"/>
      <c r="R200" s="79"/>
      <c r="S200" s="79"/>
      <c r="T200" s="79"/>
      <c r="U200" s="79"/>
      <c r="V200" s="79"/>
      <c r="W200" s="79"/>
    </row>
    <row r="201" spans="1:23">
      <c r="A201" s="80" t="e">
        <f t="shared" si="55"/>
        <v>#REF!</v>
      </c>
      <c r="B201" s="80"/>
      <c r="C201" s="215">
        <v>25</v>
      </c>
      <c r="D201" s="81" t="e">
        <f t="shared" si="56"/>
        <v>#REF!</v>
      </c>
      <c r="E201" s="81" t="e">
        <f t="shared" si="56"/>
        <v>#REF!</v>
      </c>
      <c r="F201" s="81" t="e">
        <f t="shared" si="56"/>
        <v>#REF!</v>
      </c>
      <c r="G201" s="81" t="e">
        <f t="shared" si="56"/>
        <v>#REF!</v>
      </c>
      <c r="H201" s="81" t="e">
        <f t="shared" si="56"/>
        <v>#REF!</v>
      </c>
      <c r="I201" s="81" t="e">
        <f t="shared" si="56"/>
        <v>#REF!</v>
      </c>
      <c r="J201" s="81" t="e">
        <f t="shared" si="56"/>
        <v>#REF!</v>
      </c>
      <c r="K201" s="79"/>
      <c r="L201" s="79"/>
      <c r="M201" s="79"/>
      <c r="N201" s="79"/>
      <c r="O201" s="79"/>
      <c r="P201" s="79"/>
      <c r="Q201" s="79"/>
      <c r="R201" s="79"/>
      <c r="S201" s="79"/>
      <c r="T201" s="79"/>
      <c r="U201" s="79"/>
      <c r="V201" s="79"/>
      <c r="W201" s="79"/>
    </row>
    <row r="202" spans="1:23">
      <c r="A202" s="80" t="e">
        <f t="shared" si="55"/>
        <v>#REF!</v>
      </c>
      <c r="B202" s="80"/>
      <c r="C202" s="215">
        <v>70</v>
      </c>
      <c r="D202" s="81" t="e">
        <f t="shared" si="56"/>
        <v>#REF!</v>
      </c>
      <c r="E202" s="81" t="e">
        <f t="shared" si="56"/>
        <v>#REF!</v>
      </c>
      <c r="F202" s="81" t="e">
        <f t="shared" si="56"/>
        <v>#REF!</v>
      </c>
      <c r="G202" s="81" t="e">
        <f t="shared" si="56"/>
        <v>#REF!</v>
      </c>
      <c r="H202" s="81" t="e">
        <f t="shared" si="56"/>
        <v>#REF!</v>
      </c>
      <c r="I202" s="81" t="e">
        <f t="shared" si="56"/>
        <v>#REF!</v>
      </c>
      <c r="J202" s="81" t="e">
        <f t="shared" si="56"/>
        <v>#REF!</v>
      </c>
      <c r="K202" s="79"/>
      <c r="L202" s="79"/>
      <c r="M202" s="79"/>
      <c r="N202" s="79"/>
      <c r="O202" s="79"/>
      <c r="P202" s="79"/>
      <c r="Q202" s="79"/>
      <c r="R202" s="79"/>
      <c r="S202" s="79"/>
      <c r="T202" s="79"/>
      <c r="U202" s="79"/>
      <c r="V202" s="79"/>
      <c r="W202" s="79"/>
    </row>
    <row r="203" spans="1:23">
      <c r="A203" s="80" t="e">
        <f t="shared" si="55"/>
        <v>#REF!</v>
      </c>
      <c r="B203" s="80"/>
      <c r="C203" s="215">
        <v>25</v>
      </c>
      <c r="D203" s="81" t="e">
        <f t="shared" si="56"/>
        <v>#REF!</v>
      </c>
      <c r="E203" s="81" t="e">
        <f t="shared" si="56"/>
        <v>#REF!</v>
      </c>
      <c r="F203" s="81" t="e">
        <f t="shared" si="56"/>
        <v>#REF!</v>
      </c>
      <c r="G203" s="81" t="e">
        <f t="shared" si="56"/>
        <v>#REF!</v>
      </c>
      <c r="H203" s="81" t="e">
        <f t="shared" si="56"/>
        <v>#REF!</v>
      </c>
      <c r="I203" s="81" t="e">
        <f t="shared" si="56"/>
        <v>#REF!</v>
      </c>
      <c r="J203" s="81" t="e">
        <f t="shared" si="56"/>
        <v>#REF!</v>
      </c>
      <c r="K203" s="79"/>
      <c r="L203" s="79"/>
      <c r="M203" s="79"/>
      <c r="N203" s="79"/>
      <c r="O203" s="79"/>
      <c r="P203" s="79"/>
      <c r="Q203" s="79"/>
      <c r="R203" s="79"/>
      <c r="S203" s="79"/>
      <c r="T203" s="79"/>
      <c r="U203" s="79"/>
      <c r="V203" s="79"/>
      <c r="W203" s="79"/>
    </row>
    <row r="204" spans="1:23">
      <c r="A204" s="80" t="e">
        <f t="shared" si="55"/>
        <v>#REF!</v>
      </c>
      <c r="B204" s="80"/>
      <c r="C204" s="215">
        <v>25</v>
      </c>
      <c r="D204" s="81" t="e">
        <f t="shared" si="56"/>
        <v>#REF!</v>
      </c>
      <c r="E204" s="81" t="e">
        <f t="shared" si="56"/>
        <v>#REF!</v>
      </c>
      <c r="F204" s="81" t="e">
        <f t="shared" si="56"/>
        <v>#REF!</v>
      </c>
      <c r="G204" s="81" t="e">
        <f t="shared" si="56"/>
        <v>#REF!</v>
      </c>
      <c r="H204" s="81" t="e">
        <f t="shared" si="56"/>
        <v>#REF!</v>
      </c>
      <c r="I204" s="81" t="e">
        <f t="shared" si="56"/>
        <v>#REF!</v>
      </c>
      <c r="J204" s="81" t="e">
        <f t="shared" si="56"/>
        <v>#REF!</v>
      </c>
      <c r="K204" s="79"/>
      <c r="L204" s="79"/>
      <c r="M204" s="79"/>
      <c r="N204" s="79"/>
      <c r="O204" s="79"/>
      <c r="P204" s="79"/>
      <c r="Q204" s="79"/>
      <c r="R204" s="79"/>
      <c r="S204" s="79"/>
      <c r="T204" s="79"/>
      <c r="U204" s="79"/>
      <c r="V204" s="79"/>
      <c r="W204" s="79"/>
    </row>
    <row r="205" spans="1:23">
      <c r="A205" s="82" t="str">
        <f t="shared" si="55"/>
        <v>Rabi Crop</v>
      </c>
      <c r="B205" s="80"/>
      <c r="C205" s="215"/>
      <c r="D205" s="81">
        <f t="shared" si="56"/>
        <v>0</v>
      </c>
      <c r="E205" s="81">
        <f t="shared" si="56"/>
        <v>0</v>
      </c>
      <c r="F205" s="81">
        <f t="shared" si="56"/>
        <v>0</v>
      </c>
      <c r="G205" s="81">
        <f t="shared" si="56"/>
        <v>0</v>
      </c>
      <c r="H205" s="81">
        <f t="shared" si="56"/>
        <v>0</v>
      </c>
      <c r="I205" s="81">
        <f t="shared" si="56"/>
        <v>0</v>
      </c>
      <c r="J205" s="81">
        <f t="shared" si="56"/>
        <v>0</v>
      </c>
      <c r="K205" s="79"/>
      <c r="L205" s="79"/>
      <c r="M205" s="79"/>
      <c r="N205" s="79"/>
      <c r="O205" s="79"/>
      <c r="P205" s="79"/>
      <c r="Q205" s="79"/>
      <c r="R205" s="79"/>
      <c r="S205" s="79"/>
      <c r="T205" s="79"/>
      <c r="U205" s="79"/>
      <c r="V205" s="79"/>
      <c r="W205" s="79"/>
    </row>
    <row r="206" spans="1:23">
      <c r="A206" s="80" t="e">
        <f t="shared" si="55"/>
        <v>#REF!</v>
      </c>
      <c r="B206" s="80"/>
      <c r="C206" s="215">
        <v>35</v>
      </c>
      <c r="D206" s="81" t="e">
        <f t="shared" si="56"/>
        <v>#REF!</v>
      </c>
      <c r="E206" s="81" t="e">
        <f t="shared" si="56"/>
        <v>#REF!</v>
      </c>
      <c r="F206" s="81" t="e">
        <f t="shared" si="56"/>
        <v>#REF!</v>
      </c>
      <c r="G206" s="81" t="e">
        <f t="shared" si="56"/>
        <v>#REF!</v>
      </c>
      <c r="H206" s="81" t="e">
        <f t="shared" si="56"/>
        <v>#REF!</v>
      </c>
      <c r="I206" s="81" t="e">
        <f t="shared" si="56"/>
        <v>#REF!</v>
      </c>
      <c r="J206" s="81" t="e">
        <f t="shared" si="56"/>
        <v>#REF!</v>
      </c>
      <c r="K206" s="79"/>
      <c r="L206" s="79"/>
      <c r="M206" s="79"/>
      <c r="N206" s="79"/>
      <c r="O206" s="79"/>
      <c r="P206" s="79"/>
      <c r="Q206" s="79"/>
      <c r="R206" s="79"/>
      <c r="S206" s="79"/>
      <c r="T206" s="79"/>
      <c r="U206" s="79"/>
      <c r="V206" s="79"/>
      <c r="W206" s="79"/>
    </row>
    <row r="207" spans="1:23">
      <c r="A207" s="80" t="e">
        <f t="shared" si="55"/>
        <v>#REF!</v>
      </c>
      <c r="B207" s="80"/>
      <c r="C207" s="215">
        <v>70</v>
      </c>
      <c r="D207" s="81" t="e">
        <f t="shared" ref="D207:J216" si="57">C72*$C207*D$124</f>
        <v>#REF!</v>
      </c>
      <c r="E207" s="81" t="e">
        <f t="shared" si="57"/>
        <v>#REF!</v>
      </c>
      <c r="F207" s="81" t="e">
        <f t="shared" si="57"/>
        <v>#REF!</v>
      </c>
      <c r="G207" s="81" t="e">
        <f t="shared" si="57"/>
        <v>#REF!</v>
      </c>
      <c r="H207" s="81" t="e">
        <f t="shared" si="57"/>
        <v>#REF!</v>
      </c>
      <c r="I207" s="81" t="e">
        <f t="shared" si="57"/>
        <v>#REF!</v>
      </c>
      <c r="J207" s="81" t="e">
        <f t="shared" si="57"/>
        <v>#REF!</v>
      </c>
      <c r="K207" s="79"/>
      <c r="L207" s="79"/>
      <c r="M207" s="79"/>
      <c r="N207" s="79"/>
      <c r="O207" s="79"/>
      <c r="P207" s="79"/>
      <c r="Q207" s="79"/>
      <c r="R207" s="79"/>
      <c r="S207" s="79"/>
      <c r="T207" s="79"/>
      <c r="U207" s="79"/>
      <c r="V207" s="79"/>
      <c r="W207" s="79"/>
    </row>
    <row r="208" spans="1:23">
      <c r="A208" s="80" t="e">
        <f t="shared" si="55"/>
        <v>#REF!</v>
      </c>
      <c r="B208" s="80"/>
      <c r="C208" s="215">
        <v>25</v>
      </c>
      <c r="D208" s="81" t="e">
        <f t="shared" si="57"/>
        <v>#REF!</v>
      </c>
      <c r="E208" s="81" t="e">
        <f t="shared" si="57"/>
        <v>#REF!</v>
      </c>
      <c r="F208" s="81" t="e">
        <f t="shared" si="57"/>
        <v>#REF!</v>
      </c>
      <c r="G208" s="81" t="e">
        <f t="shared" si="57"/>
        <v>#REF!</v>
      </c>
      <c r="H208" s="81" t="e">
        <f t="shared" si="57"/>
        <v>#REF!</v>
      </c>
      <c r="I208" s="81" t="e">
        <f t="shared" si="57"/>
        <v>#REF!</v>
      </c>
      <c r="J208" s="81" t="e">
        <f t="shared" si="57"/>
        <v>#REF!</v>
      </c>
      <c r="K208" s="79"/>
      <c r="L208" s="79"/>
      <c r="M208" s="79"/>
      <c r="N208" s="79"/>
      <c r="O208" s="79"/>
      <c r="P208" s="79"/>
      <c r="Q208" s="79"/>
      <c r="R208" s="79"/>
      <c r="S208" s="79"/>
      <c r="T208" s="79"/>
      <c r="U208" s="79"/>
      <c r="V208" s="79"/>
      <c r="W208" s="79"/>
    </row>
    <row r="209" spans="1:23">
      <c r="A209" s="80" t="e">
        <f t="shared" si="55"/>
        <v>#REF!</v>
      </c>
      <c r="B209" s="80"/>
      <c r="C209" s="215">
        <v>25</v>
      </c>
      <c r="D209" s="81" t="e">
        <f t="shared" si="57"/>
        <v>#REF!</v>
      </c>
      <c r="E209" s="81" t="e">
        <f t="shared" si="57"/>
        <v>#REF!</v>
      </c>
      <c r="F209" s="81" t="e">
        <f t="shared" si="57"/>
        <v>#REF!</v>
      </c>
      <c r="G209" s="81" t="e">
        <f t="shared" si="57"/>
        <v>#REF!</v>
      </c>
      <c r="H209" s="81" t="e">
        <f t="shared" si="57"/>
        <v>#REF!</v>
      </c>
      <c r="I209" s="81" t="e">
        <f t="shared" si="57"/>
        <v>#REF!</v>
      </c>
      <c r="J209" s="81" t="e">
        <f t="shared" si="57"/>
        <v>#REF!</v>
      </c>
      <c r="K209" s="79"/>
      <c r="L209" s="79"/>
      <c r="M209" s="79"/>
      <c r="N209" s="79"/>
      <c r="O209" s="79"/>
      <c r="P209" s="79"/>
      <c r="Q209" s="79"/>
      <c r="R209" s="79"/>
      <c r="S209" s="79"/>
      <c r="T209" s="79"/>
      <c r="U209" s="79"/>
      <c r="V209" s="79"/>
      <c r="W209" s="79"/>
    </row>
    <row r="210" spans="1:23">
      <c r="A210" s="80" t="e">
        <f t="shared" si="55"/>
        <v>#REF!</v>
      </c>
      <c r="B210" s="80"/>
      <c r="C210" s="215">
        <v>25</v>
      </c>
      <c r="D210" s="81" t="e">
        <f t="shared" si="57"/>
        <v>#REF!</v>
      </c>
      <c r="E210" s="81" t="e">
        <f t="shared" si="57"/>
        <v>#REF!</v>
      </c>
      <c r="F210" s="81" t="e">
        <f t="shared" si="57"/>
        <v>#REF!</v>
      </c>
      <c r="G210" s="81" t="e">
        <f t="shared" si="57"/>
        <v>#REF!</v>
      </c>
      <c r="H210" s="81" t="e">
        <f t="shared" si="57"/>
        <v>#REF!</v>
      </c>
      <c r="I210" s="81" t="e">
        <f t="shared" si="57"/>
        <v>#REF!</v>
      </c>
      <c r="J210" s="81" t="e">
        <f t="shared" si="57"/>
        <v>#REF!</v>
      </c>
      <c r="K210" s="79"/>
      <c r="L210" s="79"/>
      <c r="M210" s="79"/>
      <c r="N210" s="79"/>
      <c r="O210" s="79"/>
      <c r="P210" s="79"/>
      <c r="Q210" s="79"/>
      <c r="R210" s="79"/>
      <c r="S210" s="79"/>
      <c r="T210" s="79"/>
      <c r="U210" s="79"/>
      <c r="V210" s="79"/>
      <c r="W210" s="79"/>
    </row>
    <row r="211" spans="1:23">
      <c r="A211" s="80" t="e">
        <f t="shared" si="55"/>
        <v>#REF!</v>
      </c>
      <c r="B211" s="80"/>
      <c r="C211" s="215"/>
      <c r="D211" s="81" t="e">
        <f t="shared" si="57"/>
        <v>#REF!</v>
      </c>
      <c r="E211" s="81" t="e">
        <f t="shared" si="57"/>
        <v>#REF!</v>
      </c>
      <c r="F211" s="81" t="e">
        <f t="shared" si="57"/>
        <v>#REF!</v>
      </c>
      <c r="G211" s="81" t="e">
        <f t="shared" si="57"/>
        <v>#REF!</v>
      </c>
      <c r="H211" s="81" t="e">
        <f t="shared" si="57"/>
        <v>#REF!</v>
      </c>
      <c r="I211" s="81" t="e">
        <f t="shared" si="57"/>
        <v>#REF!</v>
      </c>
      <c r="J211" s="81" t="e">
        <f t="shared" si="57"/>
        <v>#REF!</v>
      </c>
      <c r="K211" s="79"/>
      <c r="L211" s="79"/>
      <c r="M211" s="79"/>
      <c r="N211" s="79"/>
      <c r="O211" s="79"/>
      <c r="P211" s="79"/>
      <c r="Q211" s="79"/>
      <c r="R211" s="79"/>
      <c r="S211" s="79"/>
      <c r="T211" s="79"/>
      <c r="U211" s="79"/>
      <c r="V211" s="79"/>
      <c r="W211" s="79"/>
    </row>
    <row r="212" spans="1:23">
      <c r="A212" s="80" t="e">
        <f t="shared" si="55"/>
        <v>#REF!</v>
      </c>
      <c r="B212" s="80"/>
      <c r="C212" s="215"/>
      <c r="D212" s="81" t="e">
        <f t="shared" si="57"/>
        <v>#REF!</v>
      </c>
      <c r="E212" s="81" t="e">
        <f t="shared" si="57"/>
        <v>#REF!</v>
      </c>
      <c r="F212" s="81" t="e">
        <f t="shared" si="57"/>
        <v>#REF!</v>
      </c>
      <c r="G212" s="81" t="e">
        <f t="shared" si="57"/>
        <v>#REF!</v>
      </c>
      <c r="H212" s="81" t="e">
        <f t="shared" si="57"/>
        <v>#REF!</v>
      </c>
      <c r="I212" s="81" t="e">
        <f t="shared" si="57"/>
        <v>#REF!</v>
      </c>
      <c r="J212" s="81" t="e">
        <f t="shared" si="57"/>
        <v>#REF!</v>
      </c>
      <c r="K212" s="79"/>
      <c r="L212" s="79"/>
      <c r="M212" s="79"/>
      <c r="N212" s="79"/>
      <c r="O212" s="79"/>
      <c r="P212" s="79"/>
      <c r="Q212" s="79"/>
      <c r="R212" s="79"/>
      <c r="S212" s="79"/>
      <c r="T212" s="79"/>
      <c r="U212" s="79"/>
      <c r="V212" s="79"/>
      <c r="W212" s="79"/>
    </row>
    <row r="213" spans="1:23">
      <c r="A213" s="80" t="e">
        <f t="shared" si="55"/>
        <v>#REF!</v>
      </c>
      <c r="B213" s="80"/>
      <c r="C213" s="215"/>
      <c r="D213" s="81" t="e">
        <f t="shared" si="57"/>
        <v>#REF!</v>
      </c>
      <c r="E213" s="81" t="e">
        <f t="shared" si="57"/>
        <v>#REF!</v>
      </c>
      <c r="F213" s="81" t="e">
        <f t="shared" si="57"/>
        <v>#REF!</v>
      </c>
      <c r="G213" s="81" t="e">
        <f t="shared" si="57"/>
        <v>#REF!</v>
      </c>
      <c r="H213" s="81" t="e">
        <f t="shared" si="57"/>
        <v>#REF!</v>
      </c>
      <c r="I213" s="81" t="e">
        <f t="shared" si="57"/>
        <v>#REF!</v>
      </c>
      <c r="J213" s="81" t="e">
        <f t="shared" si="57"/>
        <v>#REF!</v>
      </c>
      <c r="K213" s="79"/>
      <c r="L213" s="79"/>
      <c r="M213" s="79"/>
      <c r="N213" s="79"/>
      <c r="O213" s="79"/>
      <c r="P213" s="79"/>
      <c r="Q213" s="79"/>
      <c r="R213" s="79"/>
      <c r="S213" s="79"/>
      <c r="T213" s="79"/>
      <c r="U213" s="79"/>
      <c r="V213" s="79"/>
      <c r="W213" s="79"/>
    </row>
    <row r="214" spans="1:23">
      <c r="A214" s="80" t="e">
        <f t="shared" si="55"/>
        <v>#REF!</v>
      </c>
      <c r="B214" s="80"/>
      <c r="C214" s="215"/>
      <c r="D214" s="81">
        <f t="shared" si="57"/>
        <v>0</v>
      </c>
      <c r="E214" s="81">
        <f t="shared" si="57"/>
        <v>0</v>
      </c>
      <c r="F214" s="81">
        <f t="shared" si="57"/>
        <v>0</v>
      </c>
      <c r="G214" s="81">
        <f t="shared" si="57"/>
        <v>0</v>
      </c>
      <c r="H214" s="81">
        <f t="shared" si="57"/>
        <v>0</v>
      </c>
      <c r="I214" s="81">
        <f t="shared" si="57"/>
        <v>0</v>
      </c>
      <c r="J214" s="81">
        <f t="shared" si="57"/>
        <v>0</v>
      </c>
      <c r="K214" s="79"/>
      <c r="L214" s="79"/>
      <c r="M214" s="79"/>
      <c r="N214" s="79"/>
      <c r="O214" s="79"/>
      <c r="P214" s="79"/>
      <c r="Q214" s="79"/>
      <c r="R214" s="79"/>
      <c r="S214" s="79"/>
      <c r="T214" s="79"/>
      <c r="U214" s="79"/>
      <c r="V214" s="79"/>
      <c r="W214" s="79"/>
    </row>
    <row r="215" spans="1:23">
      <c r="A215" s="80" t="e">
        <f t="shared" si="55"/>
        <v>#REF!</v>
      </c>
      <c r="B215" s="80"/>
      <c r="C215" s="215"/>
      <c r="D215" s="81" t="e">
        <f t="shared" si="57"/>
        <v>#REF!</v>
      </c>
      <c r="E215" s="81" t="e">
        <f t="shared" si="57"/>
        <v>#REF!</v>
      </c>
      <c r="F215" s="81" t="e">
        <f t="shared" si="57"/>
        <v>#REF!</v>
      </c>
      <c r="G215" s="81" t="e">
        <f t="shared" si="57"/>
        <v>#REF!</v>
      </c>
      <c r="H215" s="81" t="e">
        <f t="shared" si="57"/>
        <v>#REF!</v>
      </c>
      <c r="I215" s="81" t="e">
        <f t="shared" si="57"/>
        <v>#REF!</v>
      </c>
      <c r="J215" s="81" t="e">
        <f t="shared" si="57"/>
        <v>#REF!</v>
      </c>
      <c r="K215" s="79"/>
      <c r="L215" s="79"/>
      <c r="M215" s="79"/>
      <c r="N215" s="79"/>
      <c r="O215" s="79"/>
      <c r="P215" s="79"/>
      <c r="Q215" s="79"/>
      <c r="R215" s="79"/>
      <c r="S215" s="79"/>
      <c r="T215" s="79"/>
      <c r="U215" s="79"/>
      <c r="V215" s="79"/>
      <c r="W215" s="79"/>
    </row>
    <row r="216" spans="1:23">
      <c r="A216" s="80" t="e">
        <f t="shared" si="55"/>
        <v>#REF!</v>
      </c>
      <c r="B216" s="80"/>
      <c r="C216" s="215"/>
      <c r="D216" s="81" t="e">
        <f t="shared" si="57"/>
        <v>#REF!</v>
      </c>
      <c r="E216" s="81" t="e">
        <f t="shared" si="57"/>
        <v>#REF!</v>
      </c>
      <c r="F216" s="81" t="e">
        <f t="shared" si="57"/>
        <v>#REF!</v>
      </c>
      <c r="G216" s="81" t="e">
        <f t="shared" si="57"/>
        <v>#REF!</v>
      </c>
      <c r="H216" s="81" t="e">
        <f t="shared" si="57"/>
        <v>#REF!</v>
      </c>
      <c r="I216" s="81" t="e">
        <f t="shared" si="57"/>
        <v>#REF!</v>
      </c>
      <c r="J216" s="81" t="e">
        <f t="shared" si="57"/>
        <v>#REF!</v>
      </c>
      <c r="K216" s="79"/>
      <c r="L216" s="79"/>
      <c r="M216" s="79"/>
      <c r="N216" s="79"/>
      <c r="O216" s="79"/>
      <c r="P216" s="79"/>
      <c r="Q216" s="79"/>
      <c r="R216" s="79"/>
      <c r="S216" s="79"/>
      <c r="T216" s="79"/>
      <c r="U216" s="79"/>
      <c r="V216" s="79"/>
      <c r="W216" s="79"/>
    </row>
    <row r="217" spans="1:23">
      <c r="A217" s="80" t="e">
        <f t="shared" si="55"/>
        <v>#REF!</v>
      </c>
      <c r="B217" s="80"/>
      <c r="C217" s="215"/>
      <c r="D217" s="81" t="e">
        <f t="shared" ref="D217:J219" si="58">C82*$C217*D$124</f>
        <v>#REF!</v>
      </c>
      <c r="E217" s="81" t="e">
        <f t="shared" si="58"/>
        <v>#REF!</v>
      </c>
      <c r="F217" s="81" t="e">
        <f t="shared" si="58"/>
        <v>#REF!</v>
      </c>
      <c r="G217" s="81" t="e">
        <f t="shared" si="58"/>
        <v>#REF!</v>
      </c>
      <c r="H217" s="81" t="e">
        <f t="shared" si="58"/>
        <v>#REF!</v>
      </c>
      <c r="I217" s="81" t="e">
        <f t="shared" si="58"/>
        <v>#REF!</v>
      </c>
      <c r="J217" s="81" t="e">
        <f t="shared" si="58"/>
        <v>#REF!</v>
      </c>
      <c r="K217" s="79"/>
      <c r="L217" s="79"/>
      <c r="M217" s="79"/>
      <c r="N217" s="79"/>
      <c r="O217" s="79"/>
      <c r="P217" s="79"/>
      <c r="Q217" s="79"/>
      <c r="R217" s="79"/>
      <c r="S217" s="79"/>
      <c r="T217" s="79"/>
      <c r="U217" s="79"/>
      <c r="V217" s="79"/>
      <c r="W217" s="79"/>
    </row>
    <row r="218" spans="1:23">
      <c r="A218" s="80" t="e">
        <f t="shared" si="55"/>
        <v>#REF!</v>
      </c>
      <c r="B218" s="80"/>
      <c r="C218" s="215"/>
      <c r="D218" s="81" t="e">
        <f t="shared" si="58"/>
        <v>#REF!</v>
      </c>
      <c r="E218" s="81" t="e">
        <f t="shared" si="58"/>
        <v>#REF!</v>
      </c>
      <c r="F218" s="81" t="e">
        <f t="shared" si="58"/>
        <v>#REF!</v>
      </c>
      <c r="G218" s="81" t="e">
        <f t="shared" si="58"/>
        <v>#REF!</v>
      </c>
      <c r="H218" s="81" t="e">
        <f t="shared" si="58"/>
        <v>#REF!</v>
      </c>
      <c r="I218" s="81" t="e">
        <f t="shared" si="58"/>
        <v>#REF!</v>
      </c>
      <c r="J218" s="81" t="e">
        <f t="shared" si="58"/>
        <v>#REF!</v>
      </c>
      <c r="K218" s="79"/>
      <c r="L218" s="79"/>
      <c r="M218" s="79"/>
      <c r="N218" s="79"/>
      <c r="O218" s="79"/>
      <c r="P218" s="79"/>
      <c r="Q218" s="79"/>
      <c r="R218" s="79"/>
      <c r="S218" s="79"/>
      <c r="T218" s="79"/>
      <c r="U218" s="79"/>
      <c r="V218" s="79"/>
      <c r="W218" s="79"/>
    </row>
    <row r="219" spans="1:23">
      <c r="A219" s="80" t="e">
        <f t="shared" si="55"/>
        <v>#REF!</v>
      </c>
      <c r="B219" s="80"/>
      <c r="C219" s="215"/>
      <c r="D219" s="81" t="e">
        <f t="shared" si="58"/>
        <v>#REF!</v>
      </c>
      <c r="E219" s="81" t="e">
        <f t="shared" si="58"/>
        <v>#REF!</v>
      </c>
      <c r="F219" s="81" t="e">
        <f t="shared" si="58"/>
        <v>#REF!</v>
      </c>
      <c r="G219" s="81" t="e">
        <f t="shared" si="58"/>
        <v>#REF!</v>
      </c>
      <c r="H219" s="81" t="e">
        <f t="shared" si="58"/>
        <v>#REF!</v>
      </c>
      <c r="I219" s="81" t="e">
        <f t="shared" si="58"/>
        <v>#REF!</v>
      </c>
      <c r="J219" s="81" t="e">
        <f t="shared" si="58"/>
        <v>#REF!</v>
      </c>
      <c r="K219" s="79"/>
      <c r="L219" s="79"/>
      <c r="M219" s="79"/>
      <c r="N219" s="79"/>
      <c r="O219" s="79"/>
      <c r="P219" s="79"/>
      <c r="Q219" s="79"/>
      <c r="R219" s="79"/>
      <c r="S219" s="79"/>
      <c r="T219" s="79"/>
      <c r="U219" s="79"/>
      <c r="V219" s="79"/>
      <c r="W219" s="79"/>
    </row>
    <row r="220" spans="1:23">
      <c r="A220" s="80" t="str">
        <f t="shared" si="55"/>
        <v>Fruit  &amp; Vegetables Crop Production Details</v>
      </c>
      <c r="B220" s="80"/>
      <c r="C220" s="81"/>
      <c r="D220" s="81"/>
      <c r="E220" s="81"/>
      <c r="F220" s="81"/>
      <c r="G220" s="81"/>
      <c r="H220" s="81"/>
      <c r="I220" s="81"/>
      <c r="J220" s="81"/>
      <c r="K220" s="79"/>
      <c r="L220" s="79"/>
      <c r="M220" s="79"/>
      <c r="N220" s="79"/>
      <c r="O220" s="79"/>
      <c r="P220" s="79"/>
      <c r="Q220" s="79"/>
      <c r="R220" s="79"/>
      <c r="S220" s="79"/>
      <c r="T220" s="79"/>
      <c r="U220" s="79"/>
      <c r="V220" s="79"/>
      <c r="W220" s="79"/>
    </row>
    <row r="221" spans="1:23">
      <c r="A221" s="80">
        <f t="shared" si="55"/>
        <v>0</v>
      </c>
      <c r="B221" s="80"/>
      <c r="C221" s="215"/>
      <c r="D221" s="81">
        <f t="shared" ref="D221:J230" si="59">C86*$C221*D$124</f>
        <v>0</v>
      </c>
      <c r="E221" s="81">
        <f t="shared" si="59"/>
        <v>0</v>
      </c>
      <c r="F221" s="81">
        <f t="shared" si="59"/>
        <v>0</v>
      </c>
      <c r="G221" s="81">
        <f t="shared" si="59"/>
        <v>0</v>
      </c>
      <c r="H221" s="81">
        <f t="shared" si="59"/>
        <v>0</v>
      </c>
      <c r="I221" s="81">
        <f t="shared" si="59"/>
        <v>0</v>
      </c>
      <c r="J221" s="81">
        <f t="shared" si="59"/>
        <v>0</v>
      </c>
      <c r="K221" s="79"/>
      <c r="L221" s="79"/>
      <c r="M221" s="79"/>
      <c r="N221" s="79"/>
      <c r="O221" s="79"/>
      <c r="P221" s="79"/>
      <c r="Q221" s="79"/>
      <c r="R221" s="79"/>
      <c r="S221" s="79"/>
      <c r="T221" s="79"/>
      <c r="U221" s="79"/>
      <c r="V221" s="79"/>
      <c r="W221" s="79"/>
    </row>
    <row r="222" spans="1:23">
      <c r="A222" s="80" t="e">
        <f t="shared" si="55"/>
        <v>#REF!</v>
      </c>
      <c r="B222" s="80"/>
      <c r="C222" s="215"/>
      <c r="D222" s="81" t="e">
        <f t="shared" si="59"/>
        <v>#REF!</v>
      </c>
      <c r="E222" s="81" t="e">
        <f t="shared" si="59"/>
        <v>#REF!</v>
      </c>
      <c r="F222" s="81" t="e">
        <f t="shared" si="59"/>
        <v>#REF!</v>
      </c>
      <c r="G222" s="81" t="e">
        <f t="shared" si="59"/>
        <v>#REF!</v>
      </c>
      <c r="H222" s="81" t="e">
        <f t="shared" si="59"/>
        <v>#REF!</v>
      </c>
      <c r="I222" s="81" t="e">
        <f t="shared" si="59"/>
        <v>#REF!</v>
      </c>
      <c r="J222" s="81" t="e">
        <f t="shared" si="59"/>
        <v>#REF!</v>
      </c>
      <c r="K222" s="79"/>
      <c r="L222" s="79"/>
      <c r="M222" s="79"/>
      <c r="N222" s="79"/>
      <c r="O222" s="79"/>
      <c r="P222" s="79"/>
      <c r="Q222" s="79"/>
      <c r="R222" s="79"/>
      <c r="S222" s="79"/>
      <c r="T222" s="79"/>
      <c r="U222" s="79"/>
      <c r="V222" s="79"/>
      <c r="W222" s="79"/>
    </row>
    <row r="223" spans="1:23">
      <c r="A223" s="80" t="e">
        <f t="shared" si="55"/>
        <v>#REF!</v>
      </c>
      <c r="B223" s="80"/>
      <c r="C223" s="215"/>
      <c r="D223" s="81" t="e">
        <f t="shared" si="59"/>
        <v>#REF!</v>
      </c>
      <c r="E223" s="81" t="e">
        <f t="shared" si="59"/>
        <v>#REF!</v>
      </c>
      <c r="F223" s="81" t="e">
        <f t="shared" si="59"/>
        <v>#REF!</v>
      </c>
      <c r="G223" s="81" t="e">
        <f t="shared" si="59"/>
        <v>#REF!</v>
      </c>
      <c r="H223" s="81" t="e">
        <f t="shared" si="59"/>
        <v>#REF!</v>
      </c>
      <c r="I223" s="81" t="e">
        <f t="shared" si="59"/>
        <v>#REF!</v>
      </c>
      <c r="J223" s="81" t="e">
        <f t="shared" si="59"/>
        <v>#REF!</v>
      </c>
      <c r="K223" s="79"/>
      <c r="L223" s="79"/>
      <c r="M223" s="79"/>
      <c r="N223" s="79"/>
      <c r="O223" s="79"/>
      <c r="P223" s="79"/>
      <c r="Q223" s="79"/>
      <c r="R223" s="79"/>
      <c r="S223" s="79"/>
      <c r="T223" s="79"/>
      <c r="U223" s="79"/>
      <c r="V223" s="79"/>
      <c r="W223" s="79"/>
    </row>
    <row r="224" spans="1:23">
      <c r="A224" s="80" t="str">
        <f t="shared" si="55"/>
        <v>Chilli</v>
      </c>
      <c r="B224" s="80"/>
      <c r="C224" s="215"/>
      <c r="D224" s="81">
        <f t="shared" si="59"/>
        <v>0</v>
      </c>
      <c r="E224" s="81">
        <f t="shared" si="59"/>
        <v>0</v>
      </c>
      <c r="F224" s="81">
        <f t="shared" si="59"/>
        <v>0</v>
      </c>
      <c r="G224" s="81">
        <f t="shared" si="59"/>
        <v>0</v>
      </c>
      <c r="H224" s="81">
        <f t="shared" si="59"/>
        <v>0</v>
      </c>
      <c r="I224" s="81">
        <f t="shared" si="59"/>
        <v>0</v>
      </c>
      <c r="J224" s="81">
        <f t="shared" si="59"/>
        <v>0</v>
      </c>
      <c r="K224" s="79"/>
      <c r="L224" s="79"/>
      <c r="M224" s="79"/>
      <c r="N224" s="79"/>
      <c r="O224" s="79"/>
      <c r="P224" s="79"/>
      <c r="Q224" s="79"/>
      <c r="R224" s="79"/>
      <c r="S224" s="79"/>
      <c r="T224" s="79"/>
      <c r="U224" s="79"/>
      <c r="V224" s="79"/>
      <c r="W224" s="79"/>
    </row>
    <row r="225" spans="1:23">
      <c r="A225" s="80" t="e">
        <f t="shared" si="55"/>
        <v>#REF!</v>
      </c>
      <c r="B225" s="80"/>
      <c r="C225" s="215"/>
      <c r="D225" s="81" t="e">
        <f t="shared" si="59"/>
        <v>#REF!</v>
      </c>
      <c r="E225" s="81" t="e">
        <f t="shared" si="59"/>
        <v>#REF!</v>
      </c>
      <c r="F225" s="81" t="e">
        <f t="shared" si="59"/>
        <v>#REF!</v>
      </c>
      <c r="G225" s="81" t="e">
        <f t="shared" si="59"/>
        <v>#REF!</v>
      </c>
      <c r="H225" s="81" t="e">
        <f t="shared" si="59"/>
        <v>#REF!</v>
      </c>
      <c r="I225" s="81" t="e">
        <f t="shared" si="59"/>
        <v>#REF!</v>
      </c>
      <c r="J225" s="81" t="e">
        <f t="shared" si="59"/>
        <v>#REF!</v>
      </c>
      <c r="K225" s="79"/>
      <c r="L225" s="79"/>
      <c r="M225" s="79"/>
      <c r="N225" s="79"/>
      <c r="O225" s="79"/>
      <c r="P225" s="79"/>
      <c r="Q225" s="79"/>
      <c r="R225" s="79"/>
      <c r="S225" s="79"/>
      <c r="T225" s="79"/>
      <c r="U225" s="79"/>
      <c r="V225" s="79"/>
      <c r="W225" s="79"/>
    </row>
    <row r="226" spans="1:23">
      <c r="A226" s="80" t="e">
        <f t="shared" si="55"/>
        <v>#REF!</v>
      </c>
      <c r="B226" s="80"/>
      <c r="C226" s="215"/>
      <c r="D226" s="81" t="e">
        <f t="shared" si="59"/>
        <v>#REF!</v>
      </c>
      <c r="E226" s="81" t="e">
        <f t="shared" si="59"/>
        <v>#REF!</v>
      </c>
      <c r="F226" s="81" t="e">
        <f t="shared" si="59"/>
        <v>#REF!</v>
      </c>
      <c r="G226" s="81" t="e">
        <f t="shared" si="59"/>
        <v>#REF!</v>
      </c>
      <c r="H226" s="81" t="e">
        <f t="shared" si="59"/>
        <v>#REF!</v>
      </c>
      <c r="I226" s="81" t="e">
        <f t="shared" si="59"/>
        <v>#REF!</v>
      </c>
      <c r="J226" s="81" t="e">
        <f t="shared" si="59"/>
        <v>#REF!</v>
      </c>
      <c r="K226" s="79"/>
      <c r="L226" s="79"/>
      <c r="M226" s="79"/>
      <c r="N226" s="79"/>
      <c r="O226" s="79"/>
      <c r="P226" s="79"/>
      <c r="Q226" s="79"/>
      <c r="R226" s="79"/>
      <c r="S226" s="79"/>
      <c r="T226" s="79"/>
      <c r="U226" s="79"/>
      <c r="V226" s="79"/>
      <c r="W226" s="79"/>
    </row>
    <row r="227" spans="1:23">
      <c r="A227" s="80" t="e">
        <f t="shared" si="55"/>
        <v>#REF!</v>
      </c>
      <c r="B227" s="80"/>
      <c r="C227" s="215"/>
      <c r="D227" s="81" t="e">
        <f t="shared" si="59"/>
        <v>#REF!</v>
      </c>
      <c r="E227" s="81" t="e">
        <f t="shared" si="59"/>
        <v>#REF!</v>
      </c>
      <c r="F227" s="81" t="e">
        <f t="shared" si="59"/>
        <v>#REF!</v>
      </c>
      <c r="G227" s="81" t="e">
        <f t="shared" si="59"/>
        <v>#REF!</v>
      </c>
      <c r="H227" s="81" t="e">
        <f t="shared" si="59"/>
        <v>#REF!</v>
      </c>
      <c r="I227" s="81" t="e">
        <f t="shared" si="59"/>
        <v>#REF!</v>
      </c>
      <c r="J227" s="81" t="e">
        <f t="shared" si="59"/>
        <v>#REF!</v>
      </c>
      <c r="K227" s="79"/>
      <c r="L227" s="79"/>
      <c r="M227" s="79"/>
      <c r="N227" s="79"/>
      <c r="O227" s="79"/>
      <c r="P227" s="79"/>
      <c r="Q227" s="79"/>
      <c r="R227" s="79"/>
      <c r="S227" s="79"/>
      <c r="T227" s="79"/>
      <c r="U227" s="79"/>
      <c r="V227" s="79"/>
      <c r="W227" s="79"/>
    </row>
    <row r="228" spans="1:23">
      <c r="A228" s="80" t="e">
        <f t="shared" si="55"/>
        <v>#REF!</v>
      </c>
      <c r="B228" s="80"/>
      <c r="C228" s="215"/>
      <c r="D228" s="81" t="e">
        <f t="shared" si="59"/>
        <v>#REF!</v>
      </c>
      <c r="E228" s="81" t="e">
        <f t="shared" si="59"/>
        <v>#REF!</v>
      </c>
      <c r="F228" s="81" t="e">
        <f t="shared" si="59"/>
        <v>#REF!</v>
      </c>
      <c r="G228" s="81" t="e">
        <f t="shared" si="59"/>
        <v>#REF!</v>
      </c>
      <c r="H228" s="81" t="e">
        <f t="shared" si="59"/>
        <v>#REF!</v>
      </c>
      <c r="I228" s="81" t="e">
        <f t="shared" si="59"/>
        <v>#REF!</v>
      </c>
      <c r="J228" s="81" t="e">
        <f t="shared" si="59"/>
        <v>#REF!</v>
      </c>
      <c r="K228" s="79"/>
      <c r="L228" s="79"/>
      <c r="M228" s="79"/>
      <c r="N228" s="79"/>
      <c r="O228" s="79"/>
      <c r="P228" s="79"/>
      <c r="Q228" s="79"/>
      <c r="R228" s="79"/>
      <c r="S228" s="79"/>
      <c r="T228" s="79"/>
      <c r="U228" s="79"/>
      <c r="V228" s="79"/>
      <c r="W228" s="79"/>
    </row>
    <row r="229" spans="1:23">
      <c r="A229" s="80" t="e">
        <f t="shared" si="55"/>
        <v>#REF!</v>
      </c>
      <c r="B229" s="80"/>
      <c r="C229" s="215"/>
      <c r="D229" s="81" t="e">
        <f t="shared" si="59"/>
        <v>#REF!</v>
      </c>
      <c r="E229" s="81" t="e">
        <f t="shared" si="59"/>
        <v>#REF!</v>
      </c>
      <c r="F229" s="81" t="e">
        <f t="shared" si="59"/>
        <v>#REF!</v>
      </c>
      <c r="G229" s="81" t="e">
        <f t="shared" si="59"/>
        <v>#REF!</v>
      </c>
      <c r="H229" s="81" t="e">
        <f t="shared" si="59"/>
        <v>#REF!</v>
      </c>
      <c r="I229" s="81" t="e">
        <f t="shared" si="59"/>
        <v>#REF!</v>
      </c>
      <c r="J229" s="81" t="e">
        <f t="shared" si="59"/>
        <v>#REF!</v>
      </c>
      <c r="K229" s="79"/>
      <c r="L229" s="79"/>
      <c r="M229" s="79"/>
      <c r="N229" s="79"/>
      <c r="O229" s="79"/>
      <c r="P229" s="79"/>
      <c r="Q229" s="79"/>
      <c r="R229" s="79"/>
      <c r="S229" s="79"/>
      <c r="T229" s="79"/>
      <c r="U229" s="79"/>
      <c r="V229" s="79"/>
      <c r="W229" s="79"/>
    </row>
    <row r="230" spans="1:23">
      <c r="A230" s="80" t="e">
        <f t="shared" si="55"/>
        <v>#REF!</v>
      </c>
      <c r="B230" s="80"/>
      <c r="C230" s="215"/>
      <c r="D230" s="81" t="e">
        <f t="shared" si="59"/>
        <v>#REF!</v>
      </c>
      <c r="E230" s="81" t="e">
        <f t="shared" si="59"/>
        <v>#REF!</v>
      </c>
      <c r="F230" s="81" t="e">
        <f t="shared" si="59"/>
        <v>#REF!</v>
      </c>
      <c r="G230" s="81" t="e">
        <f t="shared" si="59"/>
        <v>#REF!</v>
      </c>
      <c r="H230" s="81" t="e">
        <f t="shared" si="59"/>
        <v>#REF!</v>
      </c>
      <c r="I230" s="81" t="e">
        <f t="shared" si="59"/>
        <v>#REF!</v>
      </c>
      <c r="J230" s="81" t="e">
        <f t="shared" si="59"/>
        <v>#REF!</v>
      </c>
      <c r="K230" s="79"/>
      <c r="L230" s="79"/>
      <c r="M230" s="79"/>
      <c r="N230" s="79"/>
      <c r="O230" s="79"/>
      <c r="P230" s="79"/>
      <c r="Q230" s="79"/>
      <c r="R230" s="79"/>
      <c r="S230" s="79"/>
      <c r="T230" s="79"/>
      <c r="U230" s="79"/>
      <c r="V230" s="79"/>
      <c r="W230" s="79"/>
    </row>
    <row r="231" spans="1:23">
      <c r="A231" s="80" t="e">
        <f t="shared" si="55"/>
        <v>#REF!</v>
      </c>
      <c r="B231" s="80"/>
      <c r="C231" s="215"/>
      <c r="D231" s="81" t="e">
        <f t="shared" ref="D231:J238" si="60">C96*$C231*D$124</f>
        <v>#REF!</v>
      </c>
      <c r="E231" s="81" t="e">
        <f t="shared" si="60"/>
        <v>#REF!</v>
      </c>
      <c r="F231" s="81" t="e">
        <f t="shared" si="60"/>
        <v>#REF!</v>
      </c>
      <c r="G231" s="81" t="e">
        <f t="shared" si="60"/>
        <v>#REF!</v>
      </c>
      <c r="H231" s="81" t="e">
        <f t="shared" si="60"/>
        <v>#REF!</v>
      </c>
      <c r="I231" s="81" t="e">
        <f t="shared" si="60"/>
        <v>#REF!</v>
      </c>
      <c r="J231" s="81" t="e">
        <f t="shared" si="60"/>
        <v>#REF!</v>
      </c>
      <c r="K231" s="79"/>
      <c r="L231" s="79"/>
      <c r="M231" s="79"/>
      <c r="N231" s="79"/>
      <c r="O231" s="79"/>
      <c r="P231" s="79"/>
      <c r="Q231" s="79"/>
      <c r="R231" s="79"/>
      <c r="S231" s="79"/>
      <c r="T231" s="79"/>
      <c r="U231" s="79"/>
      <c r="V231" s="79"/>
      <c r="W231" s="79"/>
    </row>
    <row r="232" spans="1:23">
      <c r="A232" s="80" t="e">
        <f t="shared" si="55"/>
        <v>#REF!</v>
      </c>
      <c r="B232" s="80"/>
      <c r="C232" s="215"/>
      <c r="D232" s="81" t="e">
        <f t="shared" si="60"/>
        <v>#REF!</v>
      </c>
      <c r="E232" s="81" t="e">
        <f t="shared" si="60"/>
        <v>#REF!</v>
      </c>
      <c r="F232" s="81" t="e">
        <f t="shared" si="60"/>
        <v>#REF!</v>
      </c>
      <c r="G232" s="81" t="e">
        <f t="shared" si="60"/>
        <v>#REF!</v>
      </c>
      <c r="H232" s="81" t="e">
        <f t="shared" si="60"/>
        <v>#REF!</v>
      </c>
      <c r="I232" s="81" t="e">
        <f t="shared" si="60"/>
        <v>#REF!</v>
      </c>
      <c r="J232" s="81" t="e">
        <f t="shared" si="60"/>
        <v>#REF!</v>
      </c>
      <c r="K232" s="79"/>
      <c r="L232" s="79"/>
      <c r="M232" s="79"/>
      <c r="N232" s="79"/>
      <c r="O232" s="79"/>
      <c r="P232" s="79"/>
      <c r="Q232" s="79"/>
      <c r="R232" s="79"/>
      <c r="S232" s="79"/>
      <c r="T232" s="79"/>
      <c r="U232" s="79"/>
      <c r="V232" s="79"/>
      <c r="W232" s="79"/>
    </row>
    <row r="233" spans="1:23">
      <c r="A233" s="80" t="e">
        <f t="shared" si="55"/>
        <v>#REF!</v>
      </c>
      <c r="B233" s="80"/>
      <c r="C233" s="215"/>
      <c r="D233" s="81" t="e">
        <f t="shared" si="60"/>
        <v>#REF!</v>
      </c>
      <c r="E233" s="81" t="e">
        <f t="shared" si="60"/>
        <v>#REF!</v>
      </c>
      <c r="F233" s="81" t="e">
        <f t="shared" si="60"/>
        <v>#REF!</v>
      </c>
      <c r="G233" s="81" t="e">
        <f t="shared" si="60"/>
        <v>#REF!</v>
      </c>
      <c r="H233" s="81" t="e">
        <f t="shared" si="60"/>
        <v>#REF!</v>
      </c>
      <c r="I233" s="81" t="e">
        <f t="shared" si="60"/>
        <v>#REF!</v>
      </c>
      <c r="J233" s="81" t="e">
        <f t="shared" si="60"/>
        <v>#REF!</v>
      </c>
      <c r="K233" s="79"/>
      <c r="L233" s="79"/>
      <c r="M233" s="79"/>
      <c r="N233" s="79"/>
      <c r="O233" s="79"/>
      <c r="P233" s="79"/>
      <c r="Q233" s="79"/>
      <c r="R233" s="79"/>
      <c r="S233" s="79"/>
      <c r="T233" s="79"/>
      <c r="U233" s="79"/>
      <c r="V233" s="79"/>
      <c r="W233" s="79"/>
    </row>
    <row r="234" spans="1:23">
      <c r="A234" s="80" t="e">
        <f t="shared" si="55"/>
        <v>#REF!</v>
      </c>
      <c r="B234" s="80"/>
      <c r="C234" s="215"/>
      <c r="D234" s="81" t="e">
        <f t="shared" si="60"/>
        <v>#REF!</v>
      </c>
      <c r="E234" s="81" t="e">
        <f t="shared" si="60"/>
        <v>#REF!</v>
      </c>
      <c r="F234" s="81" t="e">
        <f t="shared" si="60"/>
        <v>#REF!</v>
      </c>
      <c r="G234" s="81" t="e">
        <f t="shared" si="60"/>
        <v>#REF!</v>
      </c>
      <c r="H234" s="81" t="e">
        <f t="shared" si="60"/>
        <v>#REF!</v>
      </c>
      <c r="I234" s="81" t="e">
        <f t="shared" si="60"/>
        <v>#REF!</v>
      </c>
      <c r="J234" s="81" t="e">
        <f t="shared" si="60"/>
        <v>#REF!</v>
      </c>
      <c r="K234" s="79"/>
      <c r="L234" s="79"/>
      <c r="M234" s="79"/>
      <c r="N234" s="79"/>
      <c r="O234" s="79"/>
      <c r="P234" s="79"/>
      <c r="Q234" s="79"/>
      <c r="R234" s="79"/>
      <c r="S234" s="79"/>
      <c r="T234" s="79"/>
      <c r="U234" s="79"/>
      <c r="V234" s="79"/>
      <c r="W234" s="79"/>
    </row>
    <row r="235" spans="1:23">
      <c r="A235" s="80" t="e">
        <f t="shared" si="55"/>
        <v>#REF!</v>
      </c>
      <c r="B235" s="80"/>
      <c r="C235" s="215"/>
      <c r="D235" s="81" t="e">
        <f t="shared" si="60"/>
        <v>#REF!</v>
      </c>
      <c r="E235" s="81" t="e">
        <f t="shared" si="60"/>
        <v>#REF!</v>
      </c>
      <c r="F235" s="81" t="e">
        <f t="shared" si="60"/>
        <v>#REF!</v>
      </c>
      <c r="G235" s="81" t="e">
        <f t="shared" si="60"/>
        <v>#REF!</v>
      </c>
      <c r="H235" s="81" t="e">
        <f t="shared" si="60"/>
        <v>#REF!</v>
      </c>
      <c r="I235" s="81" t="e">
        <f t="shared" si="60"/>
        <v>#REF!</v>
      </c>
      <c r="J235" s="81" t="e">
        <f t="shared" si="60"/>
        <v>#REF!</v>
      </c>
      <c r="K235" s="79"/>
      <c r="L235" s="79"/>
      <c r="M235" s="79"/>
      <c r="N235" s="79"/>
      <c r="O235" s="79"/>
      <c r="P235" s="79"/>
      <c r="Q235" s="79"/>
      <c r="R235" s="79"/>
      <c r="S235" s="79"/>
      <c r="T235" s="79"/>
      <c r="U235" s="79"/>
      <c r="V235" s="79"/>
      <c r="W235" s="79"/>
    </row>
    <row r="236" spans="1:23">
      <c r="A236" s="80" t="e">
        <f t="shared" si="55"/>
        <v>#REF!</v>
      </c>
      <c r="B236" s="80"/>
      <c r="C236" s="215"/>
      <c r="D236" s="81" t="e">
        <f t="shared" si="60"/>
        <v>#REF!</v>
      </c>
      <c r="E236" s="81" t="e">
        <f t="shared" si="60"/>
        <v>#REF!</v>
      </c>
      <c r="F236" s="81" t="e">
        <f t="shared" si="60"/>
        <v>#REF!</v>
      </c>
      <c r="G236" s="81" t="e">
        <f t="shared" si="60"/>
        <v>#REF!</v>
      </c>
      <c r="H236" s="81" t="e">
        <f t="shared" si="60"/>
        <v>#REF!</v>
      </c>
      <c r="I236" s="81" t="e">
        <f t="shared" si="60"/>
        <v>#REF!</v>
      </c>
      <c r="J236" s="81" t="e">
        <f t="shared" si="60"/>
        <v>#REF!</v>
      </c>
      <c r="K236" s="79"/>
      <c r="L236" s="79"/>
      <c r="M236" s="79"/>
      <c r="N236" s="79"/>
      <c r="O236" s="79"/>
      <c r="P236" s="79"/>
      <c r="Q236" s="79"/>
      <c r="R236" s="79"/>
      <c r="S236" s="79"/>
      <c r="T236" s="79"/>
      <c r="U236" s="79"/>
      <c r="V236" s="79"/>
      <c r="W236" s="79"/>
    </row>
    <row r="237" spans="1:23">
      <c r="A237" s="80" t="e">
        <f t="shared" si="55"/>
        <v>#REF!</v>
      </c>
      <c r="B237" s="80"/>
      <c r="C237" s="215"/>
      <c r="D237" s="81" t="e">
        <f t="shared" si="60"/>
        <v>#REF!</v>
      </c>
      <c r="E237" s="81" t="e">
        <f t="shared" si="60"/>
        <v>#REF!</v>
      </c>
      <c r="F237" s="81" t="e">
        <f t="shared" si="60"/>
        <v>#REF!</v>
      </c>
      <c r="G237" s="81" t="e">
        <f t="shared" si="60"/>
        <v>#REF!</v>
      </c>
      <c r="H237" s="81" t="e">
        <f t="shared" si="60"/>
        <v>#REF!</v>
      </c>
      <c r="I237" s="81" t="e">
        <f t="shared" si="60"/>
        <v>#REF!</v>
      </c>
      <c r="J237" s="81" t="e">
        <f t="shared" si="60"/>
        <v>#REF!</v>
      </c>
      <c r="K237" s="79"/>
      <c r="L237" s="79"/>
      <c r="M237" s="79"/>
      <c r="N237" s="79"/>
      <c r="O237" s="79"/>
      <c r="P237" s="79"/>
      <c r="Q237" s="79"/>
      <c r="R237" s="79"/>
      <c r="S237" s="79"/>
      <c r="T237" s="79"/>
      <c r="U237" s="79"/>
      <c r="V237" s="79"/>
      <c r="W237" s="79"/>
    </row>
    <row r="238" spans="1:23">
      <c r="A238" s="80" t="e">
        <f t="shared" si="55"/>
        <v>#REF!</v>
      </c>
      <c r="B238" s="80"/>
      <c r="C238" s="215"/>
      <c r="D238" s="81" t="e">
        <f t="shared" si="60"/>
        <v>#REF!</v>
      </c>
      <c r="E238" s="81" t="e">
        <f t="shared" si="60"/>
        <v>#REF!</v>
      </c>
      <c r="F238" s="81" t="e">
        <f t="shared" si="60"/>
        <v>#REF!</v>
      </c>
      <c r="G238" s="81" t="e">
        <f t="shared" si="60"/>
        <v>#REF!</v>
      </c>
      <c r="H238" s="81" t="e">
        <f t="shared" si="60"/>
        <v>#REF!</v>
      </c>
      <c r="I238" s="81" t="e">
        <f t="shared" si="60"/>
        <v>#REF!</v>
      </c>
      <c r="J238" s="81" t="e">
        <f t="shared" si="60"/>
        <v>#REF!</v>
      </c>
      <c r="K238" s="79"/>
      <c r="L238" s="79"/>
      <c r="M238" s="79"/>
      <c r="N238" s="79"/>
      <c r="O238" s="79"/>
      <c r="P238" s="79"/>
      <c r="Q238" s="79"/>
      <c r="R238" s="79"/>
      <c r="S238" s="79"/>
      <c r="T238" s="79"/>
      <c r="U238" s="79"/>
      <c r="V238" s="79"/>
      <c r="W238" s="79"/>
    </row>
    <row r="239" spans="1:23">
      <c r="A239" s="80" t="e">
        <f>A175</f>
        <v>#REF!</v>
      </c>
      <c r="B239" s="80"/>
      <c r="C239" s="215"/>
      <c r="D239" s="81" t="e">
        <f t="shared" ref="D239:J243" si="61">C107*$C239*D$124</f>
        <v>#REF!</v>
      </c>
      <c r="E239" s="81" t="e">
        <f t="shared" si="61"/>
        <v>#REF!</v>
      </c>
      <c r="F239" s="81" t="e">
        <f t="shared" si="61"/>
        <v>#REF!</v>
      </c>
      <c r="G239" s="81" t="e">
        <f t="shared" si="61"/>
        <v>#REF!</v>
      </c>
      <c r="H239" s="81" t="e">
        <f t="shared" si="61"/>
        <v>#REF!</v>
      </c>
      <c r="I239" s="81" t="e">
        <f t="shared" si="61"/>
        <v>#REF!</v>
      </c>
      <c r="J239" s="81" t="e">
        <f t="shared" si="61"/>
        <v>#REF!</v>
      </c>
      <c r="K239" s="79"/>
      <c r="L239" s="79"/>
      <c r="M239" s="79"/>
      <c r="N239" s="79"/>
      <c r="O239" s="79"/>
      <c r="P239" s="79"/>
      <c r="Q239" s="79"/>
      <c r="R239" s="79"/>
      <c r="S239" s="79"/>
      <c r="T239" s="79"/>
      <c r="U239" s="79"/>
      <c r="V239" s="79"/>
      <c r="W239" s="79"/>
    </row>
    <row r="240" spans="1:23">
      <c r="A240" s="80" t="e">
        <f>A176</f>
        <v>#REF!</v>
      </c>
      <c r="B240" s="80"/>
      <c r="C240" s="215"/>
      <c r="D240" s="81" t="e">
        <f t="shared" si="61"/>
        <v>#REF!</v>
      </c>
      <c r="E240" s="81" t="e">
        <f t="shared" si="61"/>
        <v>#REF!</v>
      </c>
      <c r="F240" s="81" t="e">
        <f t="shared" si="61"/>
        <v>#REF!</v>
      </c>
      <c r="G240" s="81" t="e">
        <f t="shared" si="61"/>
        <v>#REF!</v>
      </c>
      <c r="H240" s="81" t="e">
        <f t="shared" si="61"/>
        <v>#REF!</v>
      </c>
      <c r="I240" s="81" t="e">
        <f t="shared" si="61"/>
        <v>#REF!</v>
      </c>
      <c r="J240" s="81" t="e">
        <f t="shared" si="61"/>
        <v>#REF!</v>
      </c>
      <c r="K240" s="79"/>
      <c r="L240" s="79"/>
      <c r="M240" s="79"/>
      <c r="N240" s="79"/>
      <c r="O240" s="79"/>
      <c r="P240" s="79"/>
      <c r="Q240" s="79"/>
      <c r="R240" s="79"/>
      <c r="S240" s="79"/>
      <c r="T240" s="79"/>
      <c r="U240" s="79"/>
      <c r="V240" s="79"/>
      <c r="W240" s="79"/>
    </row>
    <row r="241" spans="1:23">
      <c r="A241" s="80" t="e">
        <f>A177</f>
        <v>#REF!</v>
      </c>
      <c r="B241" s="80"/>
      <c r="C241" s="215"/>
      <c r="D241" s="81" t="e">
        <f t="shared" si="61"/>
        <v>#REF!</v>
      </c>
      <c r="E241" s="81" t="e">
        <f t="shared" si="61"/>
        <v>#REF!</v>
      </c>
      <c r="F241" s="81" t="e">
        <f t="shared" si="61"/>
        <v>#REF!</v>
      </c>
      <c r="G241" s="81" t="e">
        <f t="shared" si="61"/>
        <v>#REF!</v>
      </c>
      <c r="H241" s="81" t="e">
        <f t="shared" si="61"/>
        <v>#REF!</v>
      </c>
      <c r="I241" s="81" t="e">
        <f t="shared" si="61"/>
        <v>#REF!</v>
      </c>
      <c r="J241" s="81" t="e">
        <f t="shared" si="61"/>
        <v>#REF!</v>
      </c>
      <c r="K241" s="79"/>
      <c r="L241" s="79"/>
      <c r="M241" s="79"/>
      <c r="N241" s="79"/>
      <c r="O241" s="79"/>
      <c r="P241" s="79"/>
      <c r="Q241" s="79"/>
      <c r="R241" s="79"/>
      <c r="S241" s="79"/>
      <c r="T241" s="79"/>
      <c r="U241" s="79"/>
      <c r="V241" s="79"/>
      <c r="W241" s="79"/>
    </row>
    <row r="242" spans="1:23">
      <c r="A242" s="80" t="e">
        <f>A178</f>
        <v>#REF!</v>
      </c>
      <c r="B242" s="80"/>
      <c r="C242" s="215"/>
      <c r="D242" s="81" t="e">
        <f t="shared" si="61"/>
        <v>#REF!</v>
      </c>
      <c r="E242" s="81" t="e">
        <f t="shared" si="61"/>
        <v>#REF!</v>
      </c>
      <c r="F242" s="81" t="e">
        <f t="shared" si="61"/>
        <v>#REF!</v>
      </c>
      <c r="G242" s="81" t="e">
        <f t="shared" si="61"/>
        <v>#REF!</v>
      </c>
      <c r="H242" s="81" t="e">
        <f t="shared" si="61"/>
        <v>#REF!</v>
      </c>
      <c r="I242" s="81" t="e">
        <f t="shared" si="61"/>
        <v>#REF!</v>
      </c>
      <c r="J242" s="81" t="e">
        <f t="shared" si="61"/>
        <v>#REF!</v>
      </c>
      <c r="K242" s="79"/>
      <c r="L242" s="79"/>
      <c r="M242" s="79"/>
      <c r="N242" s="79"/>
      <c r="O242" s="79"/>
      <c r="P242" s="79"/>
      <c r="Q242" s="79"/>
      <c r="R242" s="79"/>
      <c r="S242" s="79"/>
      <c r="T242" s="79"/>
      <c r="U242" s="79"/>
      <c r="V242" s="79"/>
      <c r="W242" s="79"/>
    </row>
    <row r="243" spans="1:23">
      <c r="A243" s="80">
        <f>A179</f>
        <v>0</v>
      </c>
      <c r="B243" s="80"/>
      <c r="C243" s="215"/>
      <c r="D243" s="81">
        <f t="shared" si="61"/>
        <v>0</v>
      </c>
      <c r="E243" s="81">
        <f t="shared" si="61"/>
        <v>0</v>
      </c>
      <c r="F243" s="81">
        <f t="shared" si="61"/>
        <v>0</v>
      </c>
      <c r="G243" s="81">
        <f t="shared" si="61"/>
        <v>0</v>
      </c>
      <c r="H243" s="81">
        <f t="shared" si="61"/>
        <v>0</v>
      </c>
      <c r="I243" s="81">
        <f t="shared" si="61"/>
        <v>0</v>
      </c>
      <c r="J243" s="81">
        <f t="shared" si="61"/>
        <v>0</v>
      </c>
      <c r="K243" s="79"/>
      <c r="L243" s="79"/>
      <c r="M243" s="79"/>
      <c r="N243" s="79"/>
      <c r="O243" s="79"/>
      <c r="P243" s="79"/>
      <c r="Q243" s="79"/>
      <c r="R243" s="79"/>
      <c r="S243" s="79"/>
      <c r="T243" s="79"/>
      <c r="U243" s="79"/>
      <c r="V243" s="79"/>
      <c r="W243" s="79"/>
    </row>
    <row r="244" spans="1:23">
      <c r="A244" s="80" t="str">
        <f>A181</f>
        <v>Fertilizer(Rate/KG)</v>
      </c>
      <c r="B244" s="80"/>
      <c r="C244" s="81"/>
      <c r="D244" s="81"/>
      <c r="E244" s="81"/>
      <c r="F244" s="81"/>
      <c r="G244" s="81"/>
      <c r="H244" s="81"/>
      <c r="I244" s="81"/>
      <c r="J244" s="81"/>
      <c r="K244" s="79"/>
      <c r="L244" s="79"/>
      <c r="M244" s="79"/>
      <c r="N244" s="79"/>
      <c r="O244" s="79"/>
      <c r="P244" s="79"/>
      <c r="Q244" s="79"/>
      <c r="R244" s="79"/>
      <c r="S244" s="79"/>
      <c r="T244" s="79"/>
      <c r="U244" s="79"/>
      <c r="V244" s="79"/>
      <c r="W244" s="79"/>
    </row>
    <row r="245" spans="1:23">
      <c r="A245" s="80" t="str">
        <f>A182</f>
        <v>SSP</v>
      </c>
      <c r="B245" s="80"/>
      <c r="C245" s="215">
        <v>6</v>
      </c>
      <c r="D245" s="81" t="e">
        <f t="shared" ref="D245:J245" si="62">C114*$C$245*D124</f>
        <v>#REF!</v>
      </c>
      <c r="E245" s="81" t="e">
        <f t="shared" si="62"/>
        <v>#REF!</v>
      </c>
      <c r="F245" s="81" t="e">
        <f t="shared" si="62"/>
        <v>#REF!</v>
      </c>
      <c r="G245" s="81" t="e">
        <f t="shared" si="62"/>
        <v>#REF!</v>
      </c>
      <c r="H245" s="81" t="e">
        <f t="shared" si="62"/>
        <v>#REF!</v>
      </c>
      <c r="I245" s="81" t="e">
        <f t="shared" si="62"/>
        <v>#REF!</v>
      </c>
      <c r="J245" s="81" t="e">
        <f t="shared" si="62"/>
        <v>#REF!</v>
      </c>
      <c r="K245" s="79"/>
      <c r="L245" s="79"/>
      <c r="M245" s="79"/>
      <c r="N245" s="79"/>
      <c r="O245" s="79"/>
      <c r="P245" s="79"/>
      <c r="Q245" s="79"/>
      <c r="R245" s="79"/>
      <c r="S245" s="79"/>
      <c r="T245" s="79"/>
      <c r="U245" s="79"/>
      <c r="V245" s="79"/>
      <c r="W245" s="79"/>
    </row>
    <row r="246" spans="1:23">
      <c r="A246" s="80" t="str">
        <f>A183</f>
        <v>Urea</v>
      </c>
      <c r="B246" s="80"/>
      <c r="C246" s="215">
        <v>5</v>
      </c>
      <c r="D246" s="81" t="e">
        <f t="shared" ref="D246:J246" si="63">C115*$C$246*D124</f>
        <v>#REF!</v>
      </c>
      <c r="E246" s="81" t="e">
        <f t="shared" si="63"/>
        <v>#REF!</v>
      </c>
      <c r="F246" s="81" t="e">
        <f t="shared" si="63"/>
        <v>#REF!</v>
      </c>
      <c r="G246" s="81" t="e">
        <f t="shared" si="63"/>
        <v>#REF!</v>
      </c>
      <c r="H246" s="81" t="e">
        <f t="shared" si="63"/>
        <v>#REF!</v>
      </c>
      <c r="I246" s="81" t="e">
        <f t="shared" si="63"/>
        <v>#REF!</v>
      </c>
      <c r="J246" s="81" t="e">
        <f t="shared" si="63"/>
        <v>#REF!</v>
      </c>
      <c r="K246" s="79"/>
      <c r="L246" s="79"/>
      <c r="M246" s="79"/>
      <c r="N246" s="79"/>
      <c r="O246" s="79"/>
      <c r="P246" s="79"/>
      <c r="Q246" s="79"/>
      <c r="R246" s="79"/>
      <c r="S246" s="79"/>
      <c r="T246" s="79"/>
      <c r="U246" s="79"/>
      <c r="V246" s="79"/>
      <c r="W246" s="79"/>
    </row>
    <row r="247" spans="1:23">
      <c r="A247" s="80" t="str">
        <f>A184</f>
        <v>DAP</v>
      </c>
      <c r="B247" s="80"/>
      <c r="C247" s="215">
        <v>27</v>
      </c>
      <c r="D247" s="81" t="e">
        <f t="shared" ref="D247:J247" si="64">C116*$C$247*D124</f>
        <v>#REF!</v>
      </c>
      <c r="E247" s="81" t="e">
        <f t="shared" si="64"/>
        <v>#REF!</v>
      </c>
      <c r="F247" s="81" t="e">
        <f t="shared" si="64"/>
        <v>#REF!</v>
      </c>
      <c r="G247" s="81" t="e">
        <f t="shared" si="64"/>
        <v>#REF!</v>
      </c>
      <c r="H247" s="81" t="e">
        <f t="shared" si="64"/>
        <v>#REF!</v>
      </c>
      <c r="I247" s="81" t="e">
        <f t="shared" si="64"/>
        <v>#REF!</v>
      </c>
      <c r="J247" s="81" t="e">
        <f t="shared" si="64"/>
        <v>#REF!</v>
      </c>
      <c r="K247" s="79"/>
      <c r="L247" s="79"/>
      <c r="M247" s="79"/>
      <c r="N247" s="79"/>
      <c r="O247" s="79"/>
      <c r="P247" s="79"/>
      <c r="Q247" s="79"/>
      <c r="R247" s="79"/>
      <c r="S247" s="79"/>
      <c r="T247" s="79"/>
      <c r="U247" s="79"/>
      <c r="V247" s="79"/>
      <c r="W247" s="79"/>
    </row>
    <row r="248" spans="1:23">
      <c r="A248" s="80"/>
      <c r="B248" s="80"/>
      <c r="C248" s="81"/>
      <c r="D248" s="81"/>
      <c r="E248" s="81"/>
      <c r="F248" s="81"/>
      <c r="G248" s="81"/>
      <c r="H248" s="81"/>
      <c r="I248" s="81"/>
      <c r="J248" s="81"/>
      <c r="K248" s="79"/>
      <c r="L248" s="79"/>
      <c r="M248" s="79"/>
      <c r="N248" s="79"/>
      <c r="O248" s="79"/>
      <c r="P248" s="79"/>
      <c r="Q248" s="79"/>
      <c r="R248" s="79"/>
      <c r="S248" s="79"/>
      <c r="T248" s="79"/>
      <c r="U248" s="79"/>
      <c r="V248" s="79"/>
      <c r="W248" s="79"/>
    </row>
    <row r="249" spans="1:23">
      <c r="A249" s="80" t="str">
        <f>A186</f>
        <v>Pesticide</v>
      </c>
      <c r="B249" s="80"/>
      <c r="C249" s="81"/>
      <c r="D249" s="81"/>
      <c r="E249" s="81"/>
      <c r="F249" s="81"/>
      <c r="G249" s="81"/>
      <c r="H249" s="81"/>
      <c r="I249" s="81"/>
      <c r="J249" s="81"/>
      <c r="K249" s="79"/>
      <c r="L249" s="79"/>
      <c r="M249" s="79"/>
      <c r="N249" s="79"/>
      <c r="O249" s="79"/>
      <c r="P249" s="79"/>
      <c r="Q249" s="79"/>
      <c r="R249" s="79"/>
      <c r="S249" s="79"/>
      <c r="T249" s="79"/>
      <c r="U249" s="79"/>
      <c r="V249" s="79"/>
      <c r="W249" s="79"/>
    </row>
    <row r="250" spans="1:23">
      <c r="A250" s="80" t="str">
        <f>A187</f>
        <v>Dupont Coragen</v>
      </c>
      <c r="B250" s="80"/>
      <c r="C250" s="215">
        <v>2800</v>
      </c>
      <c r="D250" s="81" t="e">
        <f t="shared" ref="D250:J250" si="65">C118*$C$250*D124</f>
        <v>#REF!</v>
      </c>
      <c r="E250" s="81" t="e">
        <f t="shared" si="65"/>
        <v>#REF!</v>
      </c>
      <c r="F250" s="81" t="e">
        <f t="shared" si="65"/>
        <v>#REF!</v>
      </c>
      <c r="G250" s="81" t="e">
        <f t="shared" si="65"/>
        <v>#REF!</v>
      </c>
      <c r="H250" s="81" t="e">
        <f t="shared" si="65"/>
        <v>#REF!</v>
      </c>
      <c r="I250" s="81" t="e">
        <f t="shared" si="65"/>
        <v>#REF!</v>
      </c>
      <c r="J250" s="81" t="e">
        <f t="shared" si="65"/>
        <v>#REF!</v>
      </c>
      <c r="K250" s="79"/>
      <c r="L250" s="79"/>
      <c r="M250" s="79"/>
      <c r="N250" s="79"/>
      <c r="O250" s="79"/>
      <c r="P250" s="79"/>
      <c r="Q250" s="79"/>
      <c r="R250" s="79"/>
      <c r="S250" s="79"/>
      <c r="T250" s="79"/>
      <c r="U250" s="79"/>
      <c r="V250" s="79"/>
      <c r="W250" s="79"/>
    </row>
    <row r="251" spans="1:23">
      <c r="A251" s="80" t="str">
        <f>A188</f>
        <v>Confidor Boyer</v>
      </c>
      <c r="B251" s="80"/>
      <c r="C251" s="215">
        <v>2000</v>
      </c>
      <c r="D251" s="81" t="e">
        <f t="shared" ref="D251:J251" si="66">C119*$C$251*D124</f>
        <v>#REF!</v>
      </c>
      <c r="E251" s="81" t="e">
        <f t="shared" si="66"/>
        <v>#REF!</v>
      </c>
      <c r="F251" s="81" t="e">
        <f t="shared" si="66"/>
        <v>#REF!</v>
      </c>
      <c r="G251" s="81" t="e">
        <f t="shared" si="66"/>
        <v>#REF!</v>
      </c>
      <c r="H251" s="81" t="e">
        <f t="shared" si="66"/>
        <v>#REF!</v>
      </c>
      <c r="I251" s="81" t="e">
        <f t="shared" si="66"/>
        <v>#REF!</v>
      </c>
      <c r="J251" s="81" t="e">
        <f t="shared" si="66"/>
        <v>#REF!</v>
      </c>
      <c r="K251" s="79"/>
      <c r="L251" s="79"/>
      <c r="M251" s="79"/>
      <c r="N251" s="79"/>
      <c r="O251" s="79"/>
      <c r="P251" s="79"/>
      <c r="Q251" s="79"/>
      <c r="R251" s="79"/>
      <c r="S251" s="79"/>
      <c r="T251" s="79"/>
      <c r="U251" s="79"/>
      <c r="V251" s="79"/>
      <c r="W251" s="79"/>
    </row>
    <row r="252" spans="1:23">
      <c r="A252" s="80"/>
      <c r="B252" s="80"/>
      <c r="C252" s="81"/>
      <c r="D252" s="81"/>
      <c r="E252" s="81"/>
      <c r="F252" s="81"/>
      <c r="G252" s="81"/>
      <c r="H252" s="81"/>
      <c r="I252" s="81"/>
      <c r="J252" s="81"/>
      <c r="K252" s="79"/>
      <c r="L252" s="79"/>
      <c r="M252" s="79"/>
      <c r="N252" s="79"/>
      <c r="O252" s="79"/>
      <c r="P252" s="79"/>
      <c r="Q252" s="79"/>
      <c r="R252" s="79"/>
      <c r="S252" s="79"/>
      <c r="T252" s="79"/>
      <c r="U252" s="79"/>
      <c r="V252" s="79"/>
      <c r="W252" s="79"/>
    </row>
    <row r="253" spans="1:23">
      <c r="A253" s="80" t="s">
        <v>281</v>
      </c>
      <c r="B253" s="80"/>
      <c r="C253" s="215">
        <v>10</v>
      </c>
      <c r="D253" s="81" t="e">
        <f t="shared" ref="D253:J253" si="67">(SUM(C63:C119)/50)*$C$253*D124</f>
        <v>#REF!</v>
      </c>
      <c r="E253" s="81" t="e">
        <f t="shared" si="67"/>
        <v>#REF!</v>
      </c>
      <c r="F253" s="81" t="e">
        <f t="shared" si="67"/>
        <v>#REF!</v>
      </c>
      <c r="G253" s="81" t="e">
        <f t="shared" si="67"/>
        <v>#REF!</v>
      </c>
      <c r="H253" s="81" t="e">
        <f t="shared" si="67"/>
        <v>#REF!</v>
      </c>
      <c r="I253" s="81" t="e">
        <f t="shared" si="67"/>
        <v>#REF!</v>
      </c>
      <c r="J253" s="81" t="e">
        <f t="shared" si="67"/>
        <v>#REF!</v>
      </c>
      <c r="K253" s="79"/>
      <c r="L253" s="79"/>
      <c r="M253" s="79"/>
      <c r="N253" s="79"/>
      <c r="O253" s="79"/>
      <c r="P253" s="79"/>
      <c r="Q253" s="79"/>
      <c r="R253" s="79"/>
      <c r="S253" s="79"/>
      <c r="T253" s="79"/>
      <c r="U253" s="79"/>
      <c r="V253" s="79"/>
      <c r="W253" s="79"/>
    </row>
    <row r="254" spans="1:23">
      <c r="A254" s="80" t="s">
        <v>166</v>
      </c>
      <c r="B254" s="80"/>
      <c r="C254" s="215">
        <v>100</v>
      </c>
      <c r="D254" s="81" t="e">
        <f t="shared" ref="D254:J254" si="68">(SUM(C63:C119)/50)*$C$254*D124</f>
        <v>#REF!</v>
      </c>
      <c r="E254" s="81" t="e">
        <f t="shared" si="68"/>
        <v>#REF!</v>
      </c>
      <c r="F254" s="81" t="e">
        <f t="shared" si="68"/>
        <v>#REF!</v>
      </c>
      <c r="G254" s="81" t="e">
        <f t="shared" si="68"/>
        <v>#REF!</v>
      </c>
      <c r="H254" s="81" t="e">
        <f t="shared" si="68"/>
        <v>#REF!</v>
      </c>
      <c r="I254" s="81" t="e">
        <f t="shared" si="68"/>
        <v>#REF!</v>
      </c>
      <c r="J254" s="81" t="e">
        <f t="shared" si="68"/>
        <v>#REF!</v>
      </c>
      <c r="K254" s="79"/>
      <c r="L254" s="79"/>
      <c r="M254" s="79"/>
      <c r="N254" s="79"/>
      <c r="O254" s="79"/>
      <c r="P254" s="79"/>
      <c r="Q254" s="79"/>
      <c r="R254" s="79"/>
      <c r="S254" s="79"/>
      <c r="T254" s="79"/>
      <c r="U254" s="79"/>
      <c r="V254" s="79"/>
      <c r="W254" s="79"/>
    </row>
    <row r="255" spans="1:23">
      <c r="A255" s="80"/>
      <c r="B255" s="80"/>
      <c r="C255" s="215"/>
      <c r="D255" s="170"/>
      <c r="E255" s="81"/>
      <c r="F255" s="81"/>
      <c r="G255" s="81"/>
      <c r="H255" s="81"/>
      <c r="I255" s="81"/>
      <c r="J255" s="81"/>
      <c r="K255" s="79"/>
      <c r="L255" s="79"/>
      <c r="M255" s="79"/>
      <c r="N255" s="79"/>
      <c r="O255" s="79"/>
      <c r="P255" s="79"/>
      <c r="Q255" s="79"/>
      <c r="R255" s="79"/>
      <c r="S255" s="79"/>
      <c r="T255" s="79"/>
      <c r="U255" s="79"/>
      <c r="V255" s="79"/>
      <c r="W255" s="79"/>
    </row>
    <row r="256" spans="1:23">
      <c r="A256" s="80"/>
      <c r="B256" s="80"/>
      <c r="C256" s="215"/>
      <c r="D256" s="170"/>
      <c r="E256" s="81"/>
      <c r="F256" s="81"/>
      <c r="G256" s="81"/>
      <c r="H256" s="81"/>
      <c r="I256" s="81"/>
      <c r="J256" s="81"/>
      <c r="K256" s="79"/>
      <c r="L256" s="79"/>
      <c r="M256" s="79"/>
      <c r="N256" s="79"/>
      <c r="O256" s="79"/>
      <c r="P256" s="79"/>
      <c r="Q256" s="79"/>
      <c r="R256" s="79"/>
      <c r="S256" s="79"/>
      <c r="T256" s="79"/>
      <c r="U256" s="79"/>
      <c r="V256" s="79"/>
      <c r="W256" s="79"/>
    </row>
    <row r="257" spans="1:23">
      <c r="A257" s="80"/>
      <c r="B257" s="80"/>
      <c r="C257" s="215"/>
      <c r="D257" s="170"/>
      <c r="E257" s="81"/>
      <c r="F257" s="81"/>
      <c r="G257" s="81"/>
      <c r="H257" s="81"/>
      <c r="I257" s="81"/>
      <c r="J257" s="81"/>
      <c r="K257" s="79"/>
      <c r="L257" s="79"/>
      <c r="M257" s="79"/>
      <c r="N257" s="79"/>
      <c r="O257" s="79"/>
      <c r="P257" s="79"/>
      <c r="Q257" s="79"/>
      <c r="R257" s="79"/>
      <c r="S257" s="79"/>
      <c r="T257" s="79"/>
      <c r="U257" s="79"/>
      <c r="V257" s="79"/>
      <c r="W257" s="79"/>
    </row>
    <row r="258" spans="1:23">
      <c r="A258" s="80"/>
      <c r="B258" s="80"/>
      <c r="C258" s="215"/>
      <c r="D258" s="170"/>
      <c r="E258" s="81"/>
      <c r="F258" s="81"/>
      <c r="G258" s="81"/>
      <c r="H258" s="81"/>
      <c r="I258" s="81"/>
      <c r="J258" s="81"/>
      <c r="K258" s="79"/>
      <c r="L258" s="79"/>
      <c r="M258" s="79"/>
      <c r="N258" s="79"/>
      <c r="O258" s="79"/>
      <c r="P258" s="79"/>
      <c r="Q258" s="79"/>
      <c r="R258" s="79"/>
      <c r="S258" s="79"/>
      <c r="T258" s="79"/>
      <c r="U258" s="79"/>
      <c r="V258" s="79"/>
      <c r="W258" s="79"/>
    </row>
    <row r="259" spans="1:23">
      <c r="A259" s="80" t="s">
        <v>329</v>
      </c>
      <c r="B259" s="80"/>
      <c r="C259" s="81"/>
      <c r="D259" s="170"/>
      <c r="E259" s="81">
        <f>'5.Closing Stock &amp; W Capital'!F6</f>
        <v>0</v>
      </c>
      <c r="F259" s="81">
        <f>'5.Closing Stock &amp; W Capital'!G6</f>
        <v>0</v>
      </c>
      <c r="G259" s="81">
        <f>'5.Closing Stock &amp; W Capital'!H6</f>
        <v>0</v>
      </c>
      <c r="H259" s="81">
        <f>'5.Closing Stock &amp; W Capital'!I6</f>
        <v>0</v>
      </c>
      <c r="I259" s="81">
        <f>'5.Closing Stock &amp; W Capital'!J6</f>
        <v>0</v>
      </c>
      <c r="J259" s="81">
        <f>'5.Closing Stock &amp; W Capital'!K6</f>
        <v>0</v>
      </c>
      <c r="K259" s="79"/>
      <c r="L259" s="79"/>
      <c r="M259" s="79"/>
      <c r="N259" s="79"/>
      <c r="O259" s="79"/>
      <c r="P259" s="79"/>
      <c r="Q259" s="79"/>
      <c r="R259" s="79"/>
      <c r="S259" s="79"/>
      <c r="T259" s="79"/>
      <c r="U259" s="79"/>
      <c r="V259" s="79"/>
      <c r="W259" s="79"/>
    </row>
    <row r="260" spans="1:23">
      <c r="A260" s="84" t="s">
        <v>330</v>
      </c>
      <c r="B260" s="80"/>
      <c r="C260" s="80"/>
      <c r="D260" s="170">
        <f>'5.Closing Stock &amp; W Capital'!E15</f>
        <v>0</v>
      </c>
      <c r="E260" s="81">
        <f>'5.Closing Stock &amp; W Capital'!F15</f>
        <v>0</v>
      </c>
      <c r="F260" s="81">
        <f>'5.Closing Stock &amp; W Capital'!G15</f>
        <v>0</v>
      </c>
      <c r="G260" s="81">
        <f>'5.Closing Stock &amp; W Capital'!H15</f>
        <v>0</v>
      </c>
      <c r="H260" s="81">
        <f>'5.Closing Stock &amp; W Capital'!I15</f>
        <v>0</v>
      </c>
      <c r="I260" s="81">
        <f>'5.Closing Stock &amp; W Capital'!J15</f>
        <v>0</v>
      </c>
      <c r="J260" s="81">
        <f>'5.Closing Stock &amp; W Capital'!K15</f>
        <v>0</v>
      </c>
      <c r="K260" s="79"/>
      <c r="L260" s="79"/>
      <c r="M260" s="79"/>
      <c r="N260" s="79"/>
      <c r="O260" s="79"/>
      <c r="P260" s="79"/>
      <c r="Q260" s="79"/>
      <c r="R260" s="79"/>
      <c r="S260" s="79"/>
      <c r="T260" s="79"/>
      <c r="U260" s="79"/>
      <c r="V260" s="79"/>
      <c r="W260" s="79"/>
    </row>
    <row r="261" spans="1:23">
      <c r="A261" s="80"/>
      <c r="B261" s="80"/>
      <c r="C261" s="80"/>
      <c r="D261" s="79"/>
      <c r="E261" s="79"/>
      <c r="F261" s="79"/>
      <c r="G261" s="79"/>
      <c r="H261" s="79"/>
      <c r="I261" s="79"/>
      <c r="J261" s="79"/>
      <c r="K261" s="79"/>
      <c r="L261" s="79"/>
      <c r="M261" s="79"/>
      <c r="N261" s="79"/>
      <c r="O261" s="79"/>
      <c r="P261" s="79"/>
      <c r="Q261" s="79"/>
      <c r="R261" s="79"/>
      <c r="S261" s="79"/>
      <c r="T261" s="79"/>
      <c r="U261" s="79"/>
      <c r="V261" s="79"/>
      <c r="W261" s="79"/>
    </row>
    <row r="262" spans="1:23">
      <c r="A262" s="82" t="s">
        <v>308</v>
      </c>
      <c r="B262" s="82"/>
      <c r="C262" s="98"/>
      <c r="D262" s="98" t="e">
        <f>SUM(D197:D258)+D259-D260</f>
        <v>#REF!</v>
      </c>
      <c r="E262" s="98" t="e">
        <f t="shared" ref="E262:J262" si="69">SUM(E197:E258)+E259-E260</f>
        <v>#REF!</v>
      </c>
      <c r="F262" s="98" t="e">
        <f t="shared" si="69"/>
        <v>#REF!</v>
      </c>
      <c r="G262" s="98" t="e">
        <f t="shared" si="69"/>
        <v>#REF!</v>
      </c>
      <c r="H262" s="98" t="e">
        <f t="shared" si="69"/>
        <v>#REF!</v>
      </c>
      <c r="I262" s="98" t="e">
        <f t="shared" si="69"/>
        <v>#REF!</v>
      </c>
      <c r="J262" s="98" t="e">
        <f t="shared" si="69"/>
        <v>#REF!</v>
      </c>
      <c r="K262" s="79"/>
      <c r="L262" s="79"/>
      <c r="M262" s="79"/>
      <c r="N262" s="79"/>
      <c r="O262" s="79"/>
      <c r="P262" s="79"/>
      <c r="Q262" s="79"/>
      <c r="R262" s="79"/>
      <c r="S262" s="79"/>
      <c r="T262" s="79"/>
      <c r="U262" s="79"/>
      <c r="V262" s="79"/>
      <c r="W262" s="79"/>
    </row>
    <row r="263" spans="1:23">
      <c r="A263" s="80"/>
      <c r="B263" s="80"/>
      <c r="C263" s="81"/>
      <c r="D263" s="81"/>
      <c r="E263" s="81"/>
      <c r="F263" s="81"/>
      <c r="G263" s="81"/>
      <c r="H263" s="81"/>
      <c r="I263" s="81"/>
      <c r="J263" s="81"/>
      <c r="K263" s="79"/>
      <c r="L263" s="79"/>
      <c r="M263" s="79"/>
      <c r="N263" s="79"/>
      <c r="O263" s="79"/>
      <c r="P263" s="79"/>
      <c r="Q263" s="79"/>
      <c r="R263" s="79"/>
      <c r="S263" s="79"/>
      <c r="T263" s="79"/>
      <c r="U263" s="79"/>
      <c r="V263" s="79"/>
      <c r="W263" s="79"/>
    </row>
    <row r="264" spans="1:23">
      <c r="A264" s="82" t="s">
        <v>299</v>
      </c>
      <c r="B264" s="82"/>
      <c r="C264" s="81"/>
      <c r="D264" s="81"/>
      <c r="E264" s="81"/>
      <c r="F264" s="81"/>
      <c r="G264" s="81"/>
      <c r="H264" s="81"/>
      <c r="I264" s="81"/>
      <c r="J264" s="81"/>
      <c r="K264" s="79"/>
      <c r="L264" s="79"/>
      <c r="M264" s="79"/>
      <c r="N264" s="79"/>
      <c r="O264" s="79"/>
      <c r="P264" s="79"/>
      <c r="Q264" s="79"/>
      <c r="R264" s="79"/>
      <c r="S264" s="79"/>
      <c r="T264" s="79"/>
      <c r="U264" s="79"/>
      <c r="V264" s="79"/>
      <c r="W264" s="79"/>
    </row>
    <row r="265" spans="1:23">
      <c r="A265" s="80" t="s">
        <v>313</v>
      </c>
      <c r="B265" s="80">
        <v>12</v>
      </c>
      <c r="C265" s="215"/>
      <c r="D265" s="81">
        <f t="shared" ref="D265:J265" si="70">$B$265*$C$265*D124</f>
        <v>0</v>
      </c>
      <c r="E265" s="81">
        <f t="shared" si="70"/>
        <v>0</v>
      </c>
      <c r="F265" s="81">
        <f t="shared" si="70"/>
        <v>0</v>
      </c>
      <c r="G265" s="81">
        <f t="shared" si="70"/>
        <v>0</v>
      </c>
      <c r="H265" s="81">
        <f t="shared" si="70"/>
        <v>0</v>
      </c>
      <c r="I265" s="81">
        <f t="shared" si="70"/>
        <v>0</v>
      </c>
      <c r="J265" s="81">
        <f t="shared" si="70"/>
        <v>0</v>
      </c>
      <c r="K265" s="79"/>
      <c r="L265" s="79"/>
      <c r="M265" s="79"/>
      <c r="N265" s="79"/>
      <c r="O265" s="79"/>
      <c r="P265" s="79"/>
      <c r="Q265" s="79"/>
      <c r="R265" s="79"/>
      <c r="S265" s="79"/>
      <c r="T265" s="79"/>
      <c r="U265" s="79"/>
      <c r="V265" s="79"/>
      <c r="W265" s="79"/>
    </row>
    <row r="266" spans="1:23">
      <c r="A266" s="80" t="s">
        <v>314</v>
      </c>
      <c r="B266" s="192">
        <v>1</v>
      </c>
      <c r="C266" s="215"/>
      <c r="D266" s="81">
        <f t="shared" ref="D266:J266" si="71">$B$266*$C$266*12*D124</f>
        <v>0</v>
      </c>
      <c r="E266" s="81">
        <f t="shared" si="71"/>
        <v>0</v>
      </c>
      <c r="F266" s="81">
        <f t="shared" si="71"/>
        <v>0</v>
      </c>
      <c r="G266" s="81">
        <f t="shared" si="71"/>
        <v>0</v>
      </c>
      <c r="H266" s="81">
        <f t="shared" si="71"/>
        <v>0</v>
      </c>
      <c r="I266" s="81">
        <f t="shared" si="71"/>
        <v>0</v>
      </c>
      <c r="J266" s="81">
        <f t="shared" si="71"/>
        <v>0</v>
      </c>
      <c r="K266" s="79"/>
      <c r="L266" s="79"/>
      <c r="M266" s="79"/>
      <c r="N266" s="79"/>
      <c r="O266" s="79"/>
      <c r="P266" s="79"/>
      <c r="Q266" s="79"/>
      <c r="R266" s="79"/>
      <c r="S266" s="79"/>
      <c r="T266" s="79"/>
      <c r="U266" s="79"/>
      <c r="V266" s="79"/>
      <c r="W266" s="79"/>
    </row>
    <row r="267" spans="1:23">
      <c r="A267" s="80" t="s">
        <v>184</v>
      </c>
      <c r="B267" s="192">
        <v>1</v>
      </c>
      <c r="C267" s="215"/>
      <c r="D267" s="81">
        <f t="shared" ref="D267:J267" si="72">$B$267*$C$267*12*D124</f>
        <v>0</v>
      </c>
      <c r="E267" s="81">
        <f t="shared" si="72"/>
        <v>0</v>
      </c>
      <c r="F267" s="81">
        <f t="shared" si="72"/>
        <v>0</v>
      </c>
      <c r="G267" s="81">
        <f t="shared" si="72"/>
        <v>0</v>
      </c>
      <c r="H267" s="81">
        <f t="shared" si="72"/>
        <v>0</v>
      </c>
      <c r="I267" s="81">
        <f t="shared" si="72"/>
        <v>0</v>
      </c>
      <c r="J267" s="81">
        <f t="shared" si="72"/>
        <v>0</v>
      </c>
      <c r="K267" s="79"/>
      <c r="L267" s="79"/>
      <c r="M267" s="79"/>
      <c r="N267" s="79"/>
      <c r="O267" s="79"/>
      <c r="P267" s="79"/>
      <c r="Q267" s="79"/>
      <c r="R267" s="79"/>
      <c r="S267" s="79"/>
      <c r="T267" s="79"/>
      <c r="U267" s="79"/>
      <c r="V267" s="79"/>
      <c r="W267" s="79"/>
    </row>
    <row r="268" spans="1:23">
      <c r="A268" s="80" t="s">
        <v>315</v>
      </c>
      <c r="B268" s="80">
        <v>12</v>
      </c>
      <c r="C268" s="215"/>
      <c r="D268" s="81">
        <f t="shared" ref="D268:J268" si="73">$B$268*$C$268*D124</f>
        <v>0</v>
      </c>
      <c r="E268" s="81">
        <f t="shared" si="73"/>
        <v>0</v>
      </c>
      <c r="F268" s="81">
        <f t="shared" si="73"/>
        <v>0</v>
      </c>
      <c r="G268" s="81">
        <f t="shared" si="73"/>
        <v>0</v>
      </c>
      <c r="H268" s="81">
        <f t="shared" si="73"/>
        <v>0</v>
      </c>
      <c r="I268" s="81">
        <f t="shared" si="73"/>
        <v>0</v>
      </c>
      <c r="J268" s="81">
        <f t="shared" si="73"/>
        <v>0</v>
      </c>
      <c r="K268" s="79"/>
      <c r="L268" s="79"/>
      <c r="M268" s="79"/>
      <c r="N268" s="79"/>
      <c r="O268" s="79"/>
      <c r="P268" s="79"/>
      <c r="Q268" s="79"/>
      <c r="R268" s="79"/>
      <c r="S268" s="79"/>
      <c r="T268" s="79"/>
      <c r="U268" s="79"/>
      <c r="V268" s="79"/>
      <c r="W268" s="79"/>
    </row>
    <row r="269" spans="1:23">
      <c r="A269" s="80"/>
      <c r="B269" s="80"/>
      <c r="C269" s="215"/>
      <c r="D269" s="81"/>
      <c r="E269" s="81"/>
      <c r="F269" s="81"/>
      <c r="G269" s="81"/>
      <c r="H269" s="81"/>
      <c r="I269" s="81"/>
      <c r="J269" s="81"/>
      <c r="K269" s="79"/>
      <c r="L269" s="79"/>
      <c r="M269" s="79"/>
      <c r="N269" s="79"/>
      <c r="O269" s="79"/>
      <c r="P269" s="79"/>
      <c r="Q269" s="79"/>
      <c r="R269" s="79"/>
      <c r="S269" s="79"/>
      <c r="T269" s="79"/>
      <c r="U269" s="79"/>
      <c r="V269" s="79"/>
      <c r="W269" s="79"/>
    </row>
    <row r="270" spans="1:23">
      <c r="A270" s="80"/>
      <c r="B270" s="80"/>
      <c r="C270" s="215"/>
      <c r="D270" s="81"/>
      <c r="E270" s="81"/>
      <c r="F270" s="81"/>
      <c r="G270" s="81"/>
      <c r="H270" s="81"/>
      <c r="I270" s="81"/>
      <c r="J270" s="81"/>
      <c r="K270" s="79"/>
      <c r="L270" s="79"/>
      <c r="M270" s="79"/>
      <c r="N270" s="79"/>
      <c r="O270" s="79"/>
      <c r="P270" s="79"/>
      <c r="Q270" s="79"/>
      <c r="R270" s="79"/>
      <c r="S270" s="79"/>
      <c r="T270" s="79"/>
      <c r="U270" s="79"/>
      <c r="V270" s="79"/>
      <c r="W270" s="79"/>
    </row>
    <row r="271" spans="1:23">
      <c r="A271" s="80"/>
      <c r="B271" s="80"/>
      <c r="C271" s="215"/>
      <c r="D271" s="81"/>
      <c r="E271" s="81"/>
      <c r="F271" s="81"/>
      <c r="G271" s="81"/>
      <c r="H271" s="81"/>
      <c r="I271" s="81"/>
      <c r="J271" s="81"/>
      <c r="K271" s="79"/>
      <c r="L271" s="79"/>
      <c r="M271" s="79"/>
      <c r="N271" s="79"/>
      <c r="O271" s="79"/>
      <c r="P271" s="79"/>
      <c r="Q271" s="79"/>
      <c r="R271" s="79"/>
      <c r="S271" s="79"/>
      <c r="T271" s="79"/>
      <c r="U271" s="79"/>
      <c r="V271" s="79"/>
      <c r="W271" s="79"/>
    </row>
    <row r="272" spans="1:23">
      <c r="A272" s="80"/>
      <c r="B272" s="80"/>
      <c r="C272" s="215"/>
      <c r="D272" s="81"/>
      <c r="E272" s="81"/>
      <c r="F272" s="81"/>
      <c r="G272" s="81"/>
      <c r="H272" s="81"/>
      <c r="I272" s="81"/>
      <c r="J272" s="81"/>
      <c r="K272" s="79"/>
      <c r="L272" s="79"/>
      <c r="M272" s="79"/>
      <c r="N272" s="79"/>
      <c r="O272" s="79"/>
      <c r="P272" s="79"/>
      <c r="Q272" s="79"/>
      <c r="R272" s="79"/>
      <c r="S272" s="79"/>
      <c r="T272" s="79"/>
      <c r="U272" s="79"/>
      <c r="V272" s="79"/>
      <c r="W272" s="79"/>
    </row>
    <row r="273" spans="1:23">
      <c r="A273" s="82" t="s">
        <v>312</v>
      </c>
      <c r="B273" s="82"/>
      <c r="C273" s="98"/>
      <c r="D273" s="98">
        <f>SUM(D265:D272)</f>
        <v>0</v>
      </c>
      <c r="E273" s="98">
        <f t="shared" ref="E273:J273" si="74">SUM(E265:E272)</f>
        <v>0</v>
      </c>
      <c r="F273" s="98">
        <f t="shared" si="74"/>
        <v>0</v>
      </c>
      <c r="G273" s="98">
        <f t="shared" si="74"/>
        <v>0</v>
      </c>
      <c r="H273" s="98">
        <f t="shared" si="74"/>
        <v>0</v>
      </c>
      <c r="I273" s="98">
        <f t="shared" si="74"/>
        <v>0</v>
      </c>
      <c r="J273" s="98">
        <f t="shared" si="74"/>
        <v>0</v>
      </c>
      <c r="K273" s="79"/>
      <c r="L273" s="79"/>
      <c r="M273" s="79"/>
      <c r="N273" s="79"/>
      <c r="O273" s="79"/>
      <c r="P273" s="79"/>
      <c r="Q273" s="79"/>
      <c r="R273" s="79"/>
      <c r="S273" s="79"/>
      <c r="T273" s="79"/>
      <c r="U273" s="79"/>
      <c r="V273" s="79"/>
      <c r="W273" s="79"/>
    </row>
    <row r="274" spans="1:23">
      <c r="A274" s="158" t="s">
        <v>131</v>
      </c>
      <c r="B274" s="158"/>
      <c r="C274" s="171"/>
      <c r="D274" s="98" t="e">
        <f t="shared" ref="D274:J274" si="75">D262+D273</f>
        <v>#REF!</v>
      </c>
      <c r="E274" s="98" t="e">
        <f t="shared" si="75"/>
        <v>#REF!</v>
      </c>
      <c r="F274" s="98" t="e">
        <f t="shared" si="75"/>
        <v>#REF!</v>
      </c>
      <c r="G274" s="98" t="e">
        <f t="shared" si="75"/>
        <v>#REF!</v>
      </c>
      <c r="H274" s="98" t="e">
        <f t="shared" si="75"/>
        <v>#REF!</v>
      </c>
      <c r="I274" s="98" t="e">
        <f t="shared" si="75"/>
        <v>#REF!</v>
      </c>
      <c r="J274" s="98" t="e">
        <f t="shared" si="75"/>
        <v>#REF!</v>
      </c>
      <c r="K274" s="79"/>
      <c r="L274" s="79"/>
      <c r="M274" s="79"/>
      <c r="N274" s="79"/>
      <c r="O274" s="79"/>
      <c r="P274" s="79"/>
      <c r="Q274" s="79"/>
      <c r="R274" s="79"/>
      <c r="S274" s="79"/>
      <c r="T274" s="79"/>
      <c r="U274" s="79"/>
      <c r="V274" s="79"/>
      <c r="W274" s="79"/>
    </row>
    <row r="275" spans="1:23">
      <c r="A275" s="80"/>
      <c r="B275" s="80"/>
      <c r="C275" s="81"/>
      <c r="D275" s="81"/>
      <c r="E275" s="81"/>
      <c r="F275" s="81"/>
      <c r="G275" s="81"/>
      <c r="H275" s="81"/>
      <c r="I275" s="81"/>
      <c r="J275" s="81"/>
      <c r="K275" s="79"/>
      <c r="L275" s="79"/>
      <c r="M275" s="79"/>
      <c r="N275" s="79"/>
      <c r="O275" s="79"/>
      <c r="P275" s="79"/>
      <c r="Q275" s="79"/>
      <c r="R275" s="79"/>
      <c r="S275" s="79"/>
      <c r="T275" s="79"/>
      <c r="U275" s="79"/>
      <c r="V275" s="79"/>
      <c r="W275" s="79"/>
    </row>
    <row r="276" spans="1:23">
      <c r="A276" s="158" t="s">
        <v>7</v>
      </c>
      <c r="B276" s="158"/>
      <c r="C276" s="171"/>
      <c r="D276" s="98" t="e">
        <f t="shared" ref="D276:J276" si="76">D191-D274</f>
        <v>#REF!</v>
      </c>
      <c r="E276" s="98" t="e">
        <f t="shared" si="76"/>
        <v>#REF!</v>
      </c>
      <c r="F276" s="98" t="e">
        <f t="shared" si="76"/>
        <v>#REF!</v>
      </c>
      <c r="G276" s="98" t="e">
        <f t="shared" si="76"/>
        <v>#REF!</v>
      </c>
      <c r="H276" s="98" t="e">
        <f t="shared" si="76"/>
        <v>#REF!</v>
      </c>
      <c r="I276" s="98" t="e">
        <f t="shared" si="76"/>
        <v>#REF!</v>
      </c>
      <c r="J276" s="98" t="e">
        <f t="shared" si="76"/>
        <v>#REF!</v>
      </c>
      <c r="K276" s="79"/>
      <c r="L276" s="79"/>
      <c r="M276" s="79"/>
      <c r="N276" s="79"/>
      <c r="O276" s="79"/>
      <c r="P276" s="79"/>
      <c r="Q276" s="79"/>
      <c r="R276" s="79"/>
      <c r="S276" s="79"/>
      <c r="T276" s="79"/>
      <c r="U276" s="79"/>
      <c r="V276" s="79"/>
      <c r="W276" s="79"/>
    </row>
    <row r="277" spans="1:23">
      <c r="A277" s="99"/>
      <c r="B277" s="99"/>
      <c r="C277" s="99"/>
      <c r="D277" s="79"/>
      <c r="E277" s="79"/>
      <c r="F277" s="79"/>
      <c r="G277" s="79"/>
      <c r="H277" s="79"/>
      <c r="I277" s="79"/>
      <c r="J277" s="79"/>
      <c r="K277" s="79"/>
      <c r="L277" s="79"/>
      <c r="M277" s="79"/>
      <c r="N277" s="79"/>
      <c r="O277" s="79"/>
      <c r="P277" s="79"/>
      <c r="Q277" s="79"/>
      <c r="R277" s="79"/>
      <c r="S277" s="79"/>
      <c r="T277" s="79"/>
      <c r="U277" s="79"/>
      <c r="V277" s="79"/>
      <c r="W277" s="79"/>
    </row>
    <row r="278" spans="1:23">
      <c r="A278" s="79"/>
      <c r="B278" s="79"/>
      <c r="C278" s="79"/>
      <c r="D278" s="79"/>
      <c r="E278" s="79"/>
      <c r="F278" s="79"/>
      <c r="G278" s="79"/>
      <c r="H278" s="79"/>
      <c r="I278" s="79"/>
      <c r="J278" s="79"/>
      <c r="K278" s="79"/>
      <c r="L278" s="79"/>
      <c r="M278" s="79"/>
      <c r="N278" s="79"/>
      <c r="O278" s="79"/>
      <c r="P278" s="79"/>
      <c r="Q278" s="79"/>
      <c r="R278" s="79"/>
      <c r="S278" s="79"/>
      <c r="T278" s="79"/>
      <c r="U278" s="79"/>
      <c r="V278" s="79"/>
      <c r="W278" s="79"/>
    </row>
    <row r="279" spans="1:23">
      <c r="A279" s="677" t="s">
        <v>400</v>
      </c>
      <c r="B279" s="677"/>
      <c r="C279" s="677"/>
      <c r="D279" s="677"/>
      <c r="E279" s="677"/>
      <c r="F279" s="677"/>
      <c r="G279" s="677"/>
      <c r="H279" s="677"/>
      <c r="I279" s="677"/>
      <c r="J279" s="677"/>
    </row>
    <row r="281" spans="1:23">
      <c r="A281" t="s">
        <v>479</v>
      </c>
    </row>
    <row r="282" spans="1:23">
      <c r="A282">
        <v>1</v>
      </c>
      <c r="B282" t="s">
        <v>489</v>
      </c>
    </row>
    <row r="283" spans="1:23">
      <c r="A283">
        <v>2</v>
      </c>
      <c r="B283" t="s">
        <v>490</v>
      </c>
    </row>
    <row r="284" spans="1:23">
      <c r="A284">
        <v>3</v>
      </c>
      <c r="B284" s="79" t="s">
        <v>536</v>
      </c>
    </row>
  </sheetData>
  <mergeCells count="3">
    <mergeCell ref="A122:J122"/>
    <mergeCell ref="A2:I2"/>
    <mergeCell ref="A279:J279"/>
  </mergeCells>
  <pageMargins left="0.7" right="0.7" top="0.75" bottom="0.75" header="0.3" footer="0.3"/>
  <pageSetup scale="52" orientation="portrait" r:id="rId1"/>
  <rowBreaks count="3" manualBreakCount="3">
    <brk id="73" max="9" man="1"/>
    <brk id="145" max="9" man="1"/>
    <brk id="228"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2"/>
  <sheetViews>
    <sheetView topLeftCell="A91" zoomScale="70" zoomScaleNormal="70" workbookViewId="0">
      <selection activeCell="C117" sqref="C117"/>
    </sheetView>
  </sheetViews>
  <sheetFormatPr defaultColWidth="9.140625" defaultRowHeight="15"/>
  <cols>
    <col min="1" max="1" width="4" style="564" bestFit="1" customWidth="1"/>
    <col min="2" max="2" width="76.28515625" style="560" bestFit="1" customWidth="1"/>
    <col min="3" max="3" width="23.7109375" style="560" bestFit="1" customWidth="1"/>
    <col min="4" max="4" width="19.85546875" style="560" bestFit="1" customWidth="1"/>
    <col min="5" max="12" width="12.28515625" style="560" bestFit="1" customWidth="1"/>
    <col min="13" max="16384" width="9.140625" style="560"/>
  </cols>
  <sheetData>
    <row r="1" spans="1:4">
      <c r="A1" s="558"/>
      <c r="B1" s="559" t="s">
        <v>805</v>
      </c>
    </row>
    <row r="2" spans="1:4">
      <c r="A2" s="561">
        <v>1</v>
      </c>
      <c r="B2" s="562" t="s">
        <v>806</v>
      </c>
    </row>
    <row r="3" spans="1:4">
      <c r="A3" s="563" t="s">
        <v>229</v>
      </c>
      <c r="B3" s="560" t="s">
        <v>807</v>
      </c>
      <c r="C3" s="560" t="s">
        <v>808</v>
      </c>
    </row>
    <row r="4" spans="1:4">
      <c r="A4" s="563" t="s">
        <v>230</v>
      </c>
      <c r="B4" s="560" t="s">
        <v>809</v>
      </c>
      <c r="C4" s="560" t="s">
        <v>810</v>
      </c>
    </row>
    <row r="5" spans="1:4">
      <c r="C5" s="562" t="s">
        <v>835</v>
      </c>
    </row>
    <row r="6" spans="1:4">
      <c r="A6" s="564">
        <v>1.1000000000000001</v>
      </c>
      <c r="B6" s="314" t="s">
        <v>874</v>
      </c>
      <c r="C6" s="566">
        <v>0.5</v>
      </c>
    </row>
    <row r="7" spans="1:4">
      <c r="B7" s="314" t="s">
        <v>904</v>
      </c>
      <c r="C7" s="566">
        <v>0.3</v>
      </c>
    </row>
    <row r="8" spans="1:4">
      <c r="B8" s="314" t="s">
        <v>877</v>
      </c>
      <c r="C8" s="566">
        <v>0</v>
      </c>
    </row>
    <row r="9" spans="1:4">
      <c r="B9" s="314" t="s">
        <v>879</v>
      </c>
      <c r="C9" s="566">
        <v>0.2</v>
      </c>
    </row>
    <row r="10" spans="1:4">
      <c r="B10" s="314" t="s">
        <v>642</v>
      </c>
      <c r="C10" s="566">
        <v>0</v>
      </c>
    </row>
    <row r="16" spans="1:4">
      <c r="A16" s="561">
        <v>2</v>
      </c>
      <c r="B16" s="562" t="s">
        <v>16</v>
      </c>
      <c r="C16" s="562" t="s">
        <v>811</v>
      </c>
      <c r="D16" s="562" t="s">
        <v>812</v>
      </c>
    </row>
    <row r="17" spans="1:12">
      <c r="B17" s="560" t="s">
        <v>201</v>
      </c>
      <c r="C17" s="565">
        <v>3.1699999999999999E-2</v>
      </c>
      <c r="D17" s="565">
        <v>6.3299999999999995E-2</v>
      </c>
    </row>
    <row r="18" spans="1:12">
      <c r="B18" s="560" t="s">
        <v>202</v>
      </c>
      <c r="C18" s="566">
        <v>0.1</v>
      </c>
      <c r="D18" s="566">
        <v>0.15</v>
      </c>
    </row>
    <row r="20" spans="1:12">
      <c r="A20" s="561">
        <v>3</v>
      </c>
      <c r="B20" s="562" t="s">
        <v>813</v>
      </c>
      <c r="C20" s="562" t="s">
        <v>873</v>
      </c>
    </row>
    <row r="21" spans="1:12">
      <c r="A21" s="561">
        <v>4</v>
      </c>
      <c r="B21" s="562" t="s">
        <v>883</v>
      </c>
      <c r="C21" s="562" t="s">
        <v>912</v>
      </c>
    </row>
    <row r="23" spans="1:12">
      <c r="A23" s="561">
        <v>4</v>
      </c>
      <c r="B23" s="562" t="s">
        <v>814</v>
      </c>
      <c r="C23" s="401" t="s">
        <v>2</v>
      </c>
      <c r="D23" s="401" t="s">
        <v>3</v>
      </c>
      <c r="E23" s="401" t="s">
        <v>4</v>
      </c>
      <c r="F23" s="401" t="s">
        <v>5</v>
      </c>
      <c r="G23" s="401" t="s">
        <v>6</v>
      </c>
      <c r="H23" s="401" t="s">
        <v>163</v>
      </c>
      <c r="I23" s="401" t="s">
        <v>162</v>
      </c>
      <c r="J23" s="401" t="s">
        <v>649</v>
      </c>
      <c r="K23" s="401" t="s">
        <v>650</v>
      </c>
      <c r="L23" s="401" t="s">
        <v>651</v>
      </c>
    </row>
    <row r="24" spans="1:12">
      <c r="A24" s="563" t="s">
        <v>229</v>
      </c>
      <c r="B24" s="402" t="s">
        <v>815</v>
      </c>
      <c r="C24" s="567">
        <v>0.48</v>
      </c>
      <c r="D24" s="567">
        <f>+C24+5%</f>
        <v>0.53</v>
      </c>
      <c r="E24" s="567">
        <f t="shared" ref="E24:L24" si="0">+D24+5%</f>
        <v>0.58000000000000007</v>
      </c>
      <c r="F24" s="567">
        <f t="shared" si="0"/>
        <v>0.63000000000000012</v>
      </c>
      <c r="G24" s="567">
        <f t="shared" si="0"/>
        <v>0.68000000000000016</v>
      </c>
      <c r="H24" s="567">
        <f t="shared" si="0"/>
        <v>0.7300000000000002</v>
      </c>
      <c r="I24" s="567">
        <f t="shared" si="0"/>
        <v>0.78000000000000025</v>
      </c>
      <c r="J24" s="567">
        <f t="shared" si="0"/>
        <v>0.83000000000000029</v>
      </c>
      <c r="K24" s="567">
        <f t="shared" si="0"/>
        <v>0.88000000000000034</v>
      </c>
      <c r="L24" s="567">
        <f t="shared" si="0"/>
        <v>0.93000000000000038</v>
      </c>
    </row>
    <row r="25" spans="1:12">
      <c r="A25" s="563" t="s">
        <v>230</v>
      </c>
      <c r="B25" s="402" t="s">
        <v>630</v>
      </c>
      <c r="C25" s="567">
        <v>0.48</v>
      </c>
      <c r="D25" s="567">
        <f>+C25+5%</f>
        <v>0.53</v>
      </c>
      <c r="E25" s="567">
        <f t="shared" ref="E25:L25" si="1">+D25+5%</f>
        <v>0.58000000000000007</v>
      </c>
      <c r="F25" s="567">
        <f t="shared" si="1"/>
        <v>0.63000000000000012</v>
      </c>
      <c r="G25" s="567">
        <f t="shared" si="1"/>
        <v>0.68000000000000016</v>
      </c>
      <c r="H25" s="567">
        <f t="shared" si="1"/>
        <v>0.7300000000000002</v>
      </c>
      <c r="I25" s="567">
        <f t="shared" si="1"/>
        <v>0.78000000000000025</v>
      </c>
      <c r="J25" s="567">
        <f t="shared" si="1"/>
        <v>0.83000000000000029</v>
      </c>
      <c r="K25" s="567">
        <f t="shared" si="1"/>
        <v>0.88000000000000034</v>
      </c>
      <c r="L25" s="567">
        <f t="shared" si="1"/>
        <v>0.93000000000000038</v>
      </c>
    </row>
    <row r="27" spans="1:12">
      <c r="A27" s="561">
        <v>5</v>
      </c>
      <c r="B27" s="315" t="s">
        <v>875</v>
      </c>
    </row>
    <row r="28" spans="1:12">
      <c r="A28" s="563" t="s">
        <v>229</v>
      </c>
      <c r="B28" s="330" t="s">
        <v>884</v>
      </c>
      <c r="C28" s="568">
        <v>0.6</v>
      </c>
    </row>
    <row r="29" spans="1:12">
      <c r="A29" s="563" t="s">
        <v>230</v>
      </c>
      <c r="B29" s="330" t="s">
        <v>885</v>
      </c>
      <c r="C29" s="568">
        <v>0.35</v>
      </c>
    </row>
    <row r="30" spans="1:12">
      <c r="A30" s="563" t="s">
        <v>266</v>
      </c>
      <c r="B30" s="330" t="s">
        <v>644</v>
      </c>
      <c r="C30" s="568">
        <v>0.05</v>
      </c>
    </row>
    <row r="31" spans="1:12">
      <c r="A31" s="563" t="s">
        <v>268</v>
      </c>
      <c r="B31" s="402" t="s">
        <v>832</v>
      </c>
      <c r="C31" s="568">
        <v>0</v>
      </c>
    </row>
    <row r="32" spans="1:12">
      <c r="A32" s="563" t="s">
        <v>321</v>
      </c>
      <c r="B32" s="402" t="s">
        <v>833</v>
      </c>
      <c r="C32" s="568">
        <v>0</v>
      </c>
    </row>
    <row r="33" spans="1:3">
      <c r="A33" s="563"/>
      <c r="B33" s="402"/>
      <c r="C33" s="568"/>
    </row>
    <row r="34" spans="1:3">
      <c r="A34" s="561">
        <v>5</v>
      </c>
      <c r="B34" s="315" t="s">
        <v>905</v>
      </c>
    </row>
    <row r="35" spans="1:3">
      <c r="A35" s="563" t="s">
        <v>229</v>
      </c>
      <c r="B35" s="330" t="s">
        <v>884</v>
      </c>
      <c r="C35" s="568">
        <v>0.6</v>
      </c>
    </row>
    <row r="36" spans="1:3">
      <c r="A36" s="563" t="s">
        <v>230</v>
      </c>
      <c r="B36" s="330" t="s">
        <v>885</v>
      </c>
      <c r="C36" s="568">
        <v>0.35</v>
      </c>
    </row>
    <row r="37" spans="1:3">
      <c r="A37" s="563" t="s">
        <v>266</v>
      </c>
      <c r="B37" s="330" t="s">
        <v>644</v>
      </c>
      <c r="C37" s="568">
        <v>0.05</v>
      </c>
    </row>
    <row r="38" spans="1:3">
      <c r="A38" s="563" t="s">
        <v>268</v>
      </c>
      <c r="B38" s="402" t="s">
        <v>832</v>
      </c>
      <c r="C38" s="568">
        <v>0</v>
      </c>
    </row>
    <row r="39" spans="1:3">
      <c r="A39" s="563" t="s">
        <v>321</v>
      </c>
      <c r="B39" s="402" t="s">
        <v>833</v>
      </c>
      <c r="C39" s="568">
        <v>0</v>
      </c>
    </row>
    <row r="40" spans="1:3">
      <c r="A40" s="563"/>
      <c r="B40" s="402"/>
      <c r="C40" s="568"/>
    </row>
    <row r="41" spans="1:3">
      <c r="A41" s="561">
        <v>5</v>
      </c>
      <c r="B41" s="315" t="s">
        <v>878</v>
      </c>
    </row>
    <row r="42" spans="1:3">
      <c r="A42" s="563" t="s">
        <v>229</v>
      </c>
      <c r="B42" s="330" t="s">
        <v>884</v>
      </c>
      <c r="C42" s="568">
        <v>0.6</v>
      </c>
    </row>
    <row r="43" spans="1:3">
      <c r="A43" s="563" t="s">
        <v>230</v>
      </c>
      <c r="B43" s="330" t="s">
        <v>885</v>
      </c>
      <c r="C43" s="568">
        <v>0.35</v>
      </c>
    </row>
    <row r="44" spans="1:3">
      <c r="A44" s="563" t="s">
        <v>266</v>
      </c>
      <c r="B44" s="330" t="s">
        <v>644</v>
      </c>
      <c r="C44" s="568">
        <v>0.05</v>
      </c>
    </row>
    <row r="45" spans="1:3">
      <c r="A45" s="563"/>
      <c r="B45" s="402"/>
      <c r="C45" s="568"/>
    </row>
    <row r="46" spans="1:3">
      <c r="A46" s="561">
        <v>5</v>
      </c>
      <c r="B46" s="557" t="s">
        <v>880</v>
      </c>
    </row>
    <row r="47" spans="1:3">
      <c r="A47" s="563" t="s">
        <v>229</v>
      </c>
      <c r="B47" s="330" t="s">
        <v>884</v>
      </c>
      <c r="C47" s="568">
        <v>0.55000000000000004</v>
      </c>
    </row>
    <row r="48" spans="1:3">
      <c r="A48" s="563" t="s">
        <v>230</v>
      </c>
      <c r="B48" s="330" t="s">
        <v>885</v>
      </c>
      <c r="C48" s="568">
        <v>0.4</v>
      </c>
    </row>
    <row r="49" spans="1:3">
      <c r="A49" s="563" t="s">
        <v>266</v>
      </c>
      <c r="B49" s="330" t="s">
        <v>644</v>
      </c>
      <c r="C49" s="568">
        <v>0.05</v>
      </c>
    </row>
    <row r="50" spans="1:3">
      <c r="A50" s="563"/>
      <c r="B50" s="402"/>
      <c r="C50" s="568"/>
    </row>
    <row r="51" spans="1:3" hidden="1">
      <c r="A51" s="561">
        <v>5</v>
      </c>
      <c r="B51" s="557" t="s">
        <v>645</v>
      </c>
    </row>
    <row r="52" spans="1:3" hidden="1">
      <c r="A52" s="563" t="s">
        <v>229</v>
      </c>
      <c r="B52" s="402" t="s">
        <v>646</v>
      </c>
      <c r="C52" s="568">
        <v>0</v>
      </c>
    </row>
    <row r="53" spans="1:3" hidden="1">
      <c r="A53" s="563" t="s">
        <v>230</v>
      </c>
      <c r="B53" s="402" t="s">
        <v>647</v>
      </c>
      <c r="C53" s="568">
        <v>0</v>
      </c>
    </row>
    <row r="54" spans="1:3" hidden="1">
      <c r="A54" s="563" t="s">
        <v>266</v>
      </c>
      <c r="B54" s="402" t="s">
        <v>644</v>
      </c>
      <c r="C54" s="568">
        <v>0</v>
      </c>
    </row>
    <row r="55" spans="1:3">
      <c r="A55" s="563"/>
      <c r="B55" s="402"/>
      <c r="C55" s="568"/>
    </row>
    <row r="56" spans="1:3">
      <c r="A56" s="561">
        <v>5</v>
      </c>
      <c r="B56" s="557" t="s">
        <v>897</v>
      </c>
    </row>
    <row r="57" spans="1:3">
      <c r="A57" s="563" t="s">
        <v>229</v>
      </c>
      <c r="B57" s="330" t="s">
        <v>889</v>
      </c>
      <c r="C57" s="568">
        <v>0.73</v>
      </c>
    </row>
    <row r="58" spans="1:3">
      <c r="A58" s="563" t="s">
        <v>230</v>
      </c>
      <c r="B58" s="330" t="s">
        <v>900</v>
      </c>
      <c r="C58" s="568">
        <v>0.25</v>
      </c>
    </row>
    <row r="59" spans="1:3">
      <c r="A59" s="563" t="s">
        <v>266</v>
      </c>
      <c r="B59" s="330" t="s">
        <v>644</v>
      </c>
      <c r="C59" s="568">
        <v>0.02</v>
      </c>
    </row>
    <row r="60" spans="1:3">
      <c r="A60" s="563"/>
      <c r="B60" s="402"/>
      <c r="C60" s="568"/>
    </row>
    <row r="61" spans="1:3">
      <c r="A61" s="563"/>
      <c r="B61" s="402"/>
      <c r="C61" s="568"/>
    </row>
    <row r="62" spans="1:3">
      <c r="A62" s="561">
        <v>5</v>
      </c>
      <c r="B62" s="557" t="s">
        <v>906</v>
      </c>
    </row>
    <row r="63" spans="1:3">
      <c r="A63" s="563" t="s">
        <v>229</v>
      </c>
      <c r="B63" s="330" t="s">
        <v>907</v>
      </c>
      <c r="C63" s="568">
        <v>0.73</v>
      </c>
    </row>
    <row r="64" spans="1:3">
      <c r="A64" s="563" t="s">
        <v>230</v>
      </c>
      <c r="B64" s="330" t="s">
        <v>900</v>
      </c>
      <c r="C64" s="568">
        <v>0.25</v>
      </c>
    </row>
    <row r="65" spans="1:3">
      <c r="A65" s="563" t="s">
        <v>266</v>
      </c>
      <c r="B65" s="330" t="s">
        <v>644</v>
      </c>
      <c r="C65" s="568">
        <v>0.02</v>
      </c>
    </row>
    <row r="66" spans="1:3">
      <c r="A66" s="563"/>
      <c r="B66" s="402"/>
      <c r="C66" s="568"/>
    </row>
    <row r="67" spans="1:3">
      <c r="A67" s="563"/>
      <c r="B67" s="402"/>
      <c r="C67" s="568"/>
    </row>
    <row r="68" spans="1:3">
      <c r="A68" s="561">
        <v>5</v>
      </c>
      <c r="B68" s="557" t="s">
        <v>898</v>
      </c>
    </row>
    <row r="69" spans="1:3">
      <c r="A69" s="563" t="s">
        <v>229</v>
      </c>
      <c r="B69" s="330" t="s">
        <v>890</v>
      </c>
      <c r="C69" s="568">
        <v>0.73</v>
      </c>
    </row>
    <row r="70" spans="1:3">
      <c r="A70" s="563" t="s">
        <v>230</v>
      </c>
      <c r="B70" s="330" t="s">
        <v>900</v>
      </c>
      <c r="C70" s="568">
        <v>0.25</v>
      </c>
    </row>
    <row r="71" spans="1:3">
      <c r="A71" s="563" t="s">
        <v>266</v>
      </c>
      <c r="B71" s="330" t="s">
        <v>644</v>
      </c>
      <c r="C71" s="568">
        <v>0.02</v>
      </c>
    </row>
    <row r="72" spans="1:3">
      <c r="A72" s="563"/>
      <c r="B72" s="402"/>
      <c r="C72" s="568"/>
    </row>
    <row r="73" spans="1:3">
      <c r="A73" s="563"/>
      <c r="B73" s="402"/>
      <c r="C73" s="568"/>
    </row>
    <row r="74" spans="1:3">
      <c r="A74" s="561">
        <v>5</v>
      </c>
      <c r="B74" s="557" t="s">
        <v>899</v>
      </c>
    </row>
    <row r="75" spans="1:3">
      <c r="A75" s="563" t="s">
        <v>229</v>
      </c>
      <c r="B75" s="330" t="s">
        <v>891</v>
      </c>
      <c r="C75" s="568">
        <v>0.73</v>
      </c>
    </row>
    <row r="76" spans="1:3">
      <c r="A76" s="563" t="s">
        <v>230</v>
      </c>
      <c r="B76" s="330" t="s">
        <v>900</v>
      </c>
      <c r="C76" s="568">
        <v>0.25</v>
      </c>
    </row>
    <row r="77" spans="1:3">
      <c r="A77" s="563" t="s">
        <v>266</v>
      </c>
      <c r="B77" s="330" t="s">
        <v>644</v>
      </c>
      <c r="C77" s="568">
        <v>0.02</v>
      </c>
    </row>
    <row r="78" spans="1:3">
      <c r="A78" s="563"/>
      <c r="B78" s="402"/>
      <c r="C78" s="568"/>
    </row>
    <row r="80" spans="1:3">
      <c r="A80" s="564" t="s">
        <v>837</v>
      </c>
      <c r="B80" s="588" t="s">
        <v>887</v>
      </c>
    </row>
    <row r="81" spans="1:12">
      <c r="B81" s="588" t="s">
        <v>908</v>
      </c>
    </row>
    <row r="82" spans="1:12">
      <c r="B82" s="588" t="s">
        <v>888</v>
      </c>
    </row>
    <row r="83" spans="1:12">
      <c r="B83" s="588" t="s">
        <v>881</v>
      </c>
    </row>
    <row r="84" spans="1:12">
      <c r="B84" s="588" t="s">
        <v>838</v>
      </c>
    </row>
    <row r="85" spans="1:12">
      <c r="B85" s="588" t="s">
        <v>892</v>
      </c>
    </row>
    <row r="86" spans="1:12">
      <c r="B86" s="588" t="s">
        <v>909</v>
      </c>
    </row>
    <row r="87" spans="1:12">
      <c r="B87" s="588" t="s">
        <v>893</v>
      </c>
    </row>
    <row r="88" spans="1:12">
      <c r="B88" s="588" t="s">
        <v>894</v>
      </c>
    </row>
    <row r="89" spans="1:12">
      <c r="B89" s="570"/>
    </row>
    <row r="90" spans="1:12">
      <c r="A90" s="564">
        <v>7</v>
      </c>
      <c r="B90" s="560" t="s">
        <v>816</v>
      </c>
      <c r="C90" s="560" t="s">
        <v>817</v>
      </c>
    </row>
    <row r="91" spans="1:12">
      <c r="A91" s="564">
        <v>8</v>
      </c>
      <c r="B91" s="560" t="s">
        <v>852</v>
      </c>
      <c r="C91" s="560" t="s">
        <v>864</v>
      </c>
      <c r="D91" s="569">
        <v>24</v>
      </c>
    </row>
    <row r="92" spans="1:12">
      <c r="A92" s="564">
        <v>9</v>
      </c>
      <c r="B92" s="560" t="s">
        <v>819</v>
      </c>
      <c r="C92" s="560" t="s">
        <v>820</v>
      </c>
    </row>
    <row r="94" spans="1:12">
      <c r="A94" s="564">
        <v>9</v>
      </c>
      <c r="B94" s="585" t="s">
        <v>821</v>
      </c>
      <c r="C94" s="401" t="s">
        <v>2</v>
      </c>
      <c r="D94" s="401" t="s">
        <v>3</v>
      </c>
      <c r="E94" s="401" t="s">
        <v>4</v>
      </c>
      <c r="F94" s="401" t="s">
        <v>5</v>
      </c>
      <c r="G94" s="401" t="s">
        <v>6</v>
      </c>
      <c r="H94" s="401" t="s">
        <v>163</v>
      </c>
      <c r="I94" s="401" t="s">
        <v>162</v>
      </c>
      <c r="J94" s="401" t="s">
        <v>649</v>
      </c>
      <c r="K94" s="401" t="s">
        <v>650</v>
      </c>
      <c r="L94" s="401" t="s">
        <v>651</v>
      </c>
    </row>
    <row r="95" spans="1:12">
      <c r="B95" s="587" t="s">
        <v>876</v>
      </c>
      <c r="C95" s="415">
        <v>48000</v>
      </c>
      <c r="D95" s="415">
        <f>ROUND(C95*1.05,-1)</f>
        <v>50400</v>
      </c>
      <c r="E95" s="415">
        <f t="shared" ref="E95:L95" si="2">ROUND(D95*1.05,-1)</f>
        <v>52920</v>
      </c>
      <c r="F95" s="415">
        <f t="shared" si="2"/>
        <v>55570</v>
      </c>
      <c r="G95" s="415">
        <f t="shared" si="2"/>
        <v>58350</v>
      </c>
      <c r="H95" s="415">
        <f t="shared" si="2"/>
        <v>61270</v>
      </c>
      <c r="I95" s="415">
        <f t="shared" si="2"/>
        <v>64330</v>
      </c>
      <c r="J95" s="415">
        <f t="shared" si="2"/>
        <v>67550</v>
      </c>
      <c r="K95" s="415">
        <f t="shared" si="2"/>
        <v>70930</v>
      </c>
      <c r="L95" s="415">
        <f t="shared" si="2"/>
        <v>74480</v>
      </c>
    </row>
    <row r="96" spans="1:12">
      <c r="B96" s="587" t="s">
        <v>910</v>
      </c>
      <c r="C96" s="415">
        <v>58500</v>
      </c>
      <c r="D96" s="415">
        <f t="shared" ref="D96:L100" si="3">ROUND(C96*1.05,-1)</f>
        <v>61430</v>
      </c>
      <c r="E96" s="415">
        <f t="shared" si="3"/>
        <v>64500</v>
      </c>
      <c r="F96" s="415">
        <f t="shared" si="3"/>
        <v>67730</v>
      </c>
      <c r="G96" s="415">
        <f t="shared" si="3"/>
        <v>71120</v>
      </c>
      <c r="H96" s="415">
        <f t="shared" si="3"/>
        <v>74680</v>
      </c>
      <c r="I96" s="415">
        <f t="shared" si="3"/>
        <v>78410</v>
      </c>
      <c r="J96" s="415">
        <f t="shared" si="3"/>
        <v>82330</v>
      </c>
      <c r="K96" s="415">
        <f t="shared" si="3"/>
        <v>86450</v>
      </c>
      <c r="L96" s="415">
        <f t="shared" si="3"/>
        <v>90770</v>
      </c>
    </row>
    <row r="97" spans="1:12" hidden="1">
      <c r="B97" s="587" t="s">
        <v>655</v>
      </c>
      <c r="C97" s="415">
        <v>0</v>
      </c>
      <c r="D97" s="415">
        <f t="shared" si="3"/>
        <v>0</v>
      </c>
      <c r="E97" s="415">
        <f t="shared" si="3"/>
        <v>0</v>
      </c>
      <c r="F97" s="415">
        <f t="shared" si="3"/>
        <v>0</v>
      </c>
      <c r="G97" s="415">
        <f t="shared" si="3"/>
        <v>0</v>
      </c>
      <c r="H97" s="415">
        <f t="shared" si="3"/>
        <v>0</v>
      </c>
      <c r="I97" s="415">
        <f t="shared" si="3"/>
        <v>0</v>
      </c>
      <c r="J97" s="415">
        <f t="shared" si="3"/>
        <v>0</v>
      </c>
      <c r="K97" s="415">
        <f t="shared" si="3"/>
        <v>0</v>
      </c>
      <c r="L97" s="415">
        <f t="shared" si="3"/>
        <v>0</v>
      </c>
    </row>
    <row r="98" spans="1:12">
      <c r="B98" s="587" t="s">
        <v>886</v>
      </c>
      <c r="C98" s="415">
        <v>0</v>
      </c>
      <c r="D98" s="415">
        <f t="shared" si="3"/>
        <v>0</v>
      </c>
      <c r="E98" s="415">
        <f t="shared" si="3"/>
        <v>0</v>
      </c>
      <c r="F98" s="415">
        <f t="shared" si="3"/>
        <v>0</v>
      </c>
      <c r="G98" s="415">
        <f t="shared" si="3"/>
        <v>0</v>
      </c>
      <c r="H98" s="415">
        <f t="shared" si="3"/>
        <v>0</v>
      </c>
      <c r="I98" s="415">
        <f t="shared" si="3"/>
        <v>0</v>
      </c>
      <c r="J98" s="415">
        <f t="shared" si="3"/>
        <v>0</v>
      </c>
      <c r="K98" s="415">
        <f t="shared" si="3"/>
        <v>0</v>
      </c>
      <c r="L98" s="415">
        <f t="shared" si="3"/>
        <v>0</v>
      </c>
    </row>
    <row r="99" spans="1:12">
      <c r="B99" s="587" t="s">
        <v>882</v>
      </c>
      <c r="C99" s="415">
        <v>60000</v>
      </c>
      <c r="D99" s="415">
        <f t="shared" si="3"/>
        <v>63000</v>
      </c>
      <c r="E99" s="415">
        <f t="shared" si="3"/>
        <v>66150</v>
      </c>
      <c r="F99" s="415">
        <f t="shared" si="3"/>
        <v>69460</v>
      </c>
      <c r="G99" s="415">
        <f t="shared" si="3"/>
        <v>72930</v>
      </c>
      <c r="H99" s="415">
        <f t="shared" si="3"/>
        <v>76580</v>
      </c>
      <c r="I99" s="415">
        <f t="shared" si="3"/>
        <v>80410</v>
      </c>
      <c r="J99" s="415">
        <f t="shared" si="3"/>
        <v>84430</v>
      </c>
      <c r="K99" s="415">
        <f t="shared" si="3"/>
        <v>88650</v>
      </c>
      <c r="L99" s="415">
        <f t="shared" si="3"/>
        <v>93080</v>
      </c>
    </row>
    <row r="100" spans="1:12">
      <c r="B100" s="587" t="s">
        <v>455</v>
      </c>
      <c r="C100" s="415">
        <v>0</v>
      </c>
      <c r="D100" s="415">
        <f t="shared" si="3"/>
        <v>0</v>
      </c>
      <c r="E100" s="415">
        <f t="shared" si="3"/>
        <v>0</v>
      </c>
      <c r="F100" s="415">
        <f t="shared" si="3"/>
        <v>0</v>
      </c>
      <c r="G100" s="415">
        <f t="shared" si="3"/>
        <v>0</v>
      </c>
      <c r="H100" s="415">
        <f t="shared" si="3"/>
        <v>0</v>
      </c>
      <c r="I100" s="415">
        <f t="shared" si="3"/>
        <v>0</v>
      </c>
      <c r="J100" s="415">
        <f t="shared" si="3"/>
        <v>0</v>
      </c>
      <c r="K100" s="415">
        <f t="shared" si="3"/>
        <v>0</v>
      </c>
      <c r="L100" s="415">
        <f t="shared" si="3"/>
        <v>0</v>
      </c>
    </row>
    <row r="101" spans="1:12">
      <c r="C101" s="415"/>
      <c r="D101" s="415"/>
      <c r="E101" s="415"/>
      <c r="F101" s="415"/>
      <c r="G101" s="415"/>
      <c r="H101" s="415"/>
      <c r="I101" s="415"/>
      <c r="J101" s="415"/>
      <c r="K101" s="415"/>
      <c r="L101" s="415"/>
    </row>
    <row r="102" spans="1:12">
      <c r="A102" s="564">
        <v>10</v>
      </c>
      <c r="B102" s="562" t="s">
        <v>822</v>
      </c>
      <c r="C102" s="401" t="s">
        <v>2</v>
      </c>
      <c r="D102" s="401" t="s">
        <v>3</v>
      </c>
      <c r="E102" s="401" t="s">
        <v>4</v>
      </c>
      <c r="F102" s="401" t="s">
        <v>5</v>
      </c>
      <c r="G102" s="401" t="s">
        <v>6</v>
      </c>
      <c r="H102" s="401" t="s">
        <v>163</v>
      </c>
      <c r="I102" s="401" t="s">
        <v>162</v>
      </c>
      <c r="J102" s="401" t="s">
        <v>649</v>
      </c>
      <c r="K102" s="401" t="s">
        <v>650</v>
      </c>
      <c r="L102" s="401" t="s">
        <v>651</v>
      </c>
    </row>
    <row r="103" spans="1:12">
      <c r="B103" s="560" t="s">
        <v>823</v>
      </c>
      <c r="C103" s="415">
        <v>800</v>
      </c>
      <c r="D103" s="415">
        <f t="shared" ref="D103" si="4">ROUND(C103*1.05,-1)</f>
        <v>840</v>
      </c>
      <c r="E103" s="415">
        <f t="shared" ref="E103" si="5">ROUND(D103*1.05,-1)</f>
        <v>880</v>
      </c>
      <c r="F103" s="415">
        <f t="shared" ref="F103" si="6">ROUND(E103*1.05,-1)</f>
        <v>920</v>
      </c>
      <c r="G103" s="415">
        <f t="shared" ref="G103" si="7">ROUND(F103*1.05,-1)</f>
        <v>970</v>
      </c>
      <c r="H103" s="415">
        <f t="shared" ref="H103" si="8">ROUND(G103*1.05,-1)</f>
        <v>1020</v>
      </c>
      <c r="I103" s="415">
        <f t="shared" ref="I103" si="9">ROUND(H103*1.05,-1)</f>
        <v>1070</v>
      </c>
      <c r="J103" s="415">
        <f t="shared" ref="J103" si="10">ROUND(I103*1.05,-1)</f>
        <v>1120</v>
      </c>
      <c r="K103" s="415">
        <f t="shared" ref="K103" si="11">ROUND(J103*1.05,-1)</f>
        <v>1180</v>
      </c>
      <c r="L103" s="415">
        <f t="shared" ref="L103" si="12">ROUND(K103*1.05,-1)</f>
        <v>1240</v>
      </c>
    </row>
    <row r="105" spans="1:12">
      <c r="A105" s="564">
        <v>11</v>
      </c>
      <c r="B105" s="562" t="s">
        <v>824</v>
      </c>
      <c r="C105" s="560" t="s">
        <v>825</v>
      </c>
    </row>
    <row r="107" spans="1:12">
      <c r="A107" s="564">
        <v>12</v>
      </c>
      <c r="B107" s="585" t="s">
        <v>826</v>
      </c>
      <c r="C107" s="401" t="s">
        <v>2</v>
      </c>
      <c r="D107" s="401" t="s">
        <v>3</v>
      </c>
      <c r="E107" s="401" t="s">
        <v>4</v>
      </c>
      <c r="F107" s="401" t="s">
        <v>5</v>
      </c>
      <c r="G107" s="401" t="s">
        <v>6</v>
      </c>
      <c r="H107" s="401" t="s">
        <v>163</v>
      </c>
      <c r="I107" s="401" t="s">
        <v>162</v>
      </c>
      <c r="J107" s="401" t="s">
        <v>649</v>
      </c>
      <c r="K107" s="401" t="s">
        <v>650</v>
      </c>
      <c r="L107" s="401" t="s">
        <v>651</v>
      </c>
    </row>
    <row r="108" spans="1:12">
      <c r="B108" s="562" t="s">
        <v>876</v>
      </c>
      <c r="C108" s="401"/>
      <c r="D108" s="401"/>
      <c r="E108" s="401"/>
      <c r="F108" s="401"/>
      <c r="G108" s="401"/>
      <c r="H108" s="401"/>
      <c r="I108" s="401"/>
      <c r="J108" s="401"/>
      <c r="K108" s="401"/>
      <c r="L108" s="401"/>
    </row>
    <row r="109" spans="1:12">
      <c r="A109" s="563" t="s">
        <v>229</v>
      </c>
      <c r="B109" s="560" t="str">
        <f>+B28</f>
        <v>Grade I</v>
      </c>
      <c r="C109" s="415">
        <v>55000</v>
      </c>
      <c r="D109" s="415">
        <f>ROUND(C109*1.05,-1)</f>
        <v>57750</v>
      </c>
      <c r="E109" s="415">
        <f t="shared" ref="E109:L109" si="13">ROUND(D109*1.05,-1)</f>
        <v>60640</v>
      </c>
      <c r="F109" s="415">
        <f t="shared" si="13"/>
        <v>63670</v>
      </c>
      <c r="G109" s="415">
        <f t="shared" si="13"/>
        <v>66850</v>
      </c>
      <c r="H109" s="415">
        <f t="shared" si="13"/>
        <v>70190</v>
      </c>
      <c r="I109" s="415">
        <f t="shared" si="13"/>
        <v>73700</v>
      </c>
      <c r="J109" s="415">
        <f t="shared" si="13"/>
        <v>77390</v>
      </c>
      <c r="K109" s="415">
        <f t="shared" si="13"/>
        <v>81260</v>
      </c>
      <c r="L109" s="415">
        <f t="shared" si="13"/>
        <v>85320</v>
      </c>
    </row>
    <row r="110" spans="1:12">
      <c r="A110" s="563" t="s">
        <v>230</v>
      </c>
      <c r="B110" s="560" t="str">
        <f>+B29</f>
        <v>Grade II</v>
      </c>
      <c r="C110" s="415">
        <v>47500</v>
      </c>
      <c r="D110" s="415">
        <f>ROUND(C110*1.05,-1)</f>
        <v>49880</v>
      </c>
      <c r="E110" s="415">
        <f t="shared" ref="E110:L110" si="14">ROUND(D110*1.05,-1)</f>
        <v>52370</v>
      </c>
      <c r="F110" s="415">
        <f t="shared" si="14"/>
        <v>54990</v>
      </c>
      <c r="G110" s="415">
        <f t="shared" si="14"/>
        <v>57740</v>
      </c>
      <c r="H110" s="415">
        <f t="shared" si="14"/>
        <v>60630</v>
      </c>
      <c r="I110" s="415">
        <f t="shared" si="14"/>
        <v>63660</v>
      </c>
      <c r="J110" s="415">
        <f t="shared" si="14"/>
        <v>66840</v>
      </c>
      <c r="K110" s="415">
        <f t="shared" si="14"/>
        <v>70180</v>
      </c>
      <c r="L110" s="415">
        <f t="shared" si="14"/>
        <v>73690</v>
      </c>
    </row>
    <row r="111" spans="1:12">
      <c r="A111" s="563" t="s">
        <v>266</v>
      </c>
      <c r="B111" s="560" t="str">
        <f>+B30</f>
        <v>Waste</v>
      </c>
      <c r="C111" s="415">
        <v>0</v>
      </c>
      <c r="D111" s="415">
        <f>ROUND(C111*1.05,-1)</f>
        <v>0</v>
      </c>
      <c r="E111" s="415">
        <f t="shared" ref="E111:L113" si="15">ROUND(D111*1.05,-1)</f>
        <v>0</v>
      </c>
      <c r="F111" s="415">
        <f t="shared" si="15"/>
        <v>0</v>
      </c>
      <c r="G111" s="415">
        <f t="shared" si="15"/>
        <v>0</v>
      </c>
      <c r="H111" s="415">
        <f t="shared" si="15"/>
        <v>0</v>
      </c>
      <c r="I111" s="415">
        <f t="shared" si="15"/>
        <v>0</v>
      </c>
      <c r="J111" s="415">
        <f t="shared" si="15"/>
        <v>0</v>
      </c>
      <c r="K111" s="415">
        <f t="shared" si="15"/>
        <v>0</v>
      </c>
      <c r="L111" s="415">
        <f t="shared" si="15"/>
        <v>0</v>
      </c>
    </row>
    <row r="112" spans="1:12">
      <c r="A112" s="563" t="s">
        <v>268</v>
      </c>
      <c r="B112" s="560" t="s">
        <v>832</v>
      </c>
      <c r="C112" s="415">
        <v>0</v>
      </c>
      <c r="D112" s="415">
        <f>ROUND(C112*1.05,-1)</f>
        <v>0</v>
      </c>
      <c r="E112" s="415">
        <f t="shared" si="15"/>
        <v>0</v>
      </c>
      <c r="F112" s="415">
        <f t="shared" si="15"/>
        <v>0</v>
      </c>
      <c r="G112" s="415">
        <f t="shared" si="15"/>
        <v>0</v>
      </c>
      <c r="H112" s="415">
        <f t="shared" si="15"/>
        <v>0</v>
      </c>
      <c r="I112" s="415">
        <f t="shared" si="15"/>
        <v>0</v>
      </c>
      <c r="J112" s="415">
        <f t="shared" si="15"/>
        <v>0</v>
      </c>
      <c r="K112" s="415">
        <f t="shared" si="15"/>
        <v>0</v>
      </c>
      <c r="L112" s="415">
        <f t="shared" si="15"/>
        <v>0</v>
      </c>
    </row>
    <row r="113" spans="1:12">
      <c r="A113" s="563" t="s">
        <v>321</v>
      </c>
      <c r="B113" s="560" t="s">
        <v>833</v>
      </c>
      <c r="C113" s="415">
        <v>0</v>
      </c>
      <c r="D113" s="415">
        <f>ROUND(C113*1.05,-1)</f>
        <v>0</v>
      </c>
      <c r="E113" s="415">
        <f t="shared" si="15"/>
        <v>0</v>
      </c>
      <c r="F113" s="415">
        <f t="shared" si="15"/>
        <v>0</v>
      </c>
      <c r="G113" s="415">
        <f t="shared" si="15"/>
        <v>0</v>
      </c>
      <c r="H113" s="415">
        <f t="shared" si="15"/>
        <v>0</v>
      </c>
      <c r="I113" s="415">
        <f t="shared" si="15"/>
        <v>0</v>
      </c>
      <c r="J113" s="415">
        <f t="shared" si="15"/>
        <v>0</v>
      </c>
      <c r="K113" s="415">
        <f t="shared" si="15"/>
        <v>0</v>
      </c>
      <c r="L113" s="415">
        <f t="shared" si="15"/>
        <v>0</v>
      </c>
    </row>
    <row r="114" spans="1:12">
      <c r="A114" s="563"/>
      <c r="C114" s="415"/>
      <c r="D114" s="415"/>
      <c r="E114" s="415"/>
      <c r="F114" s="415"/>
      <c r="G114" s="415"/>
      <c r="H114" s="415"/>
      <c r="I114" s="415"/>
      <c r="J114" s="415"/>
      <c r="K114" s="415"/>
      <c r="L114" s="415"/>
    </row>
    <row r="115" spans="1:12">
      <c r="A115" s="563"/>
      <c r="B115" s="562" t="s">
        <v>910</v>
      </c>
      <c r="C115" s="415"/>
      <c r="D115" s="415"/>
      <c r="E115" s="415"/>
      <c r="F115" s="415"/>
      <c r="G115" s="415"/>
      <c r="H115" s="415"/>
      <c r="I115" s="415"/>
      <c r="J115" s="415"/>
      <c r="K115" s="415"/>
      <c r="L115" s="415"/>
    </row>
    <row r="116" spans="1:12">
      <c r="A116" s="563" t="s">
        <v>229</v>
      </c>
      <c r="B116" s="560" t="str">
        <f>+B35</f>
        <v>Grade I</v>
      </c>
      <c r="C116" s="560">
        <v>70900</v>
      </c>
      <c r="D116" s="415">
        <f>ROUND(C116*1.05,-1)</f>
        <v>74450</v>
      </c>
      <c r="E116" s="415">
        <f>ROUND(D116*1.05,-1)</f>
        <v>78170</v>
      </c>
      <c r="F116" s="415">
        <f t="shared" ref="F116:L117" si="16">ROUND(E116*1.05,-1)</f>
        <v>82080</v>
      </c>
      <c r="G116" s="415">
        <f t="shared" si="16"/>
        <v>86180</v>
      </c>
      <c r="H116" s="415">
        <f t="shared" si="16"/>
        <v>90490</v>
      </c>
      <c r="I116" s="415">
        <f t="shared" si="16"/>
        <v>95010</v>
      </c>
      <c r="J116" s="415">
        <f t="shared" si="16"/>
        <v>99760</v>
      </c>
      <c r="K116" s="415">
        <f t="shared" si="16"/>
        <v>104750</v>
      </c>
      <c r="L116" s="415">
        <f t="shared" si="16"/>
        <v>109990</v>
      </c>
    </row>
    <row r="117" spans="1:12">
      <c r="A117" s="563" t="s">
        <v>230</v>
      </c>
      <c r="B117" s="560" t="str">
        <f>+B36</f>
        <v>Grade II</v>
      </c>
      <c r="C117" s="560">
        <v>57500</v>
      </c>
      <c r="D117" s="415">
        <f>ROUND(C117*1.05,-1)</f>
        <v>60380</v>
      </c>
      <c r="E117" s="415">
        <f t="shared" ref="E117" si="17">ROUND(D117*1.05,-1)</f>
        <v>63400</v>
      </c>
      <c r="F117" s="415">
        <f t="shared" si="16"/>
        <v>66570</v>
      </c>
      <c r="G117" s="415">
        <f t="shared" si="16"/>
        <v>69900</v>
      </c>
      <c r="H117" s="415">
        <f t="shared" si="16"/>
        <v>73400</v>
      </c>
      <c r="I117" s="415">
        <f t="shared" si="16"/>
        <v>77070</v>
      </c>
      <c r="J117" s="415">
        <f t="shared" si="16"/>
        <v>80920</v>
      </c>
      <c r="K117" s="415">
        <f t="shared" si="16"/>
        <v>84970</v>
      </c>
      <c r="L117" s="415">
        <f t="shared" si="16"/>
        <v>89220</v>
      </c>
    </row>
    <row r="118" spans="1:12">
      <c r="A118" s="563" t="s">
        <v>266</v>
      </c>
      <c r="B118" s="560" t="str">
        <f>+B37</f>
        <v>Waste</v>
      </c>
    </row>
    <row r="119" spans="1:12" hidden="1">
      <c r="A119" s="563"/>
    </row>
    <row r="120" spans="1:12" hidden="1">
      <c r="A120" s="563"/>
      <c r="B120" s="562" t="s">
        <v>655</v>
      </c>
    </row>
    <row r="121" spans="1:12" hidden="1">
      <c r="A121" s="563"/>
      <c r="B121" s="560" t="s">
        <v>631</v>
      </c>
      <c r="C121" s="560">
        <v>0</v>
      </c>
      <c r="D121" s="415">
        <f t="shared" ref="D121:L121" si="18">ROUND(C121*1.05,-1)</f>
        <v>0</v>
      </c>
      <c r="E121" s="415">
        <f t="shared" si="18"/>
        <v>0</v>
      </c>
      <c r="F121" s="415">
        <f t="shared" si="18"/>
        <v>0</v>
      </c>
      <c r="G121" s="415">
        <f t="shared" si="18"/>
        <v>0</v>
      </c>
      <c r="H121" s="415">
        <f t="shared" si="18"/>
        <v>0</v>
      </c>
      <c r="I121" s="415">
        <f t="shared" si="18"/>
        <v>0</v>
      </c>
      <c r="J121" s="415">
        <f t="shared" si="18"/>
        <v>0</v>
      </c>
      <c r="K121" s="415">
        <f t="shared" si="18"/>
        <v>0</v>
      </c>
      <c r="L121" s="415">
        <f t="shared" si="18"/>
        <v>0</v>
      </c>
    </row>
    <row r="122" spans="1:12">
      <c r="A122" s="563"/>
    </row>
    <row r="123" spans="1:12">
      <c r="A123" s="563"/>
      <c r="B123" s="562" t="s">
        <v>886</v>
      </c>
    </row>
    <row r="124" spans="1:12">
      <c r="A124" s="563" t="s">
        <v>229</v>
      </c>
      <c r="B124" s="560" t="str">
        <f>+B42</f>
        <v>Grade I</v>
      </c>
      <c r="C124" s="580">
        <v>0</v>
      </c>
      <c r="D124" s="415">
        <f>ROUND(C124*1.05,-1)</f>
        <v>0</v>
      </c>
      <c r="E124" s="415">
        <f t="shared" ref="E124:L124" si="19">ROUND(D124*1.05,-1)</f>
        <v>0</v>
      </c>
      <c r="F124" s="415">
        <f t="shared" si="19"/>
        <v>0</v>
      </c>
      <c r="G124" s="415">
        <f t="shared" si="19"/>
        <v>0</v>
      </c>
      <c r="H124" s="415">
        <f t="shared" si="19"/>
        <v>0</v>
      </c>
      <c r="I124" s="415">
        <f t="shared" si="19"/>
        <v>0</v>
      </c>
      <c r="J124" s="415">
        <f t="shared" si="19"/>
        <v>0</v>
      </c>
      <c r="K124" s="415">
        <f t="shared" si="19"/>
        <v>0</v>
      </c>
      <c r="L124" s="415">
        <f t="shared" si="19"/>
        <v>0</v>
      </c>
    </row>
    <row r="125" spans="1:12">
      <c r="A125" s="563" t="s">
        <v>230</v>
      </c>
      <c r="B125" s="560" t="str">
        <f>+B43</f>
        <v>Grade II</v>
      </c>
      <c r="C125" s="580">
        <v>0</v>
      </c>
      <c r="D125" s="415">
        <f>ROUND(C125*1.05,-1)</f>
        <v>0</v>
      </c>
      <c r="E125" s="415">
        <f t="shared" ref="E125" si="20">ROUND(D125*1.05,-1)</f>
        <v>0</v>
      </c>
      <c r="F125" s="415">
        <f t="shared" ref="F125" si="21">ROUND(E125*1.05,-1)</f>
        <v>0</v>
      </c>
      <c r="G125" s="415">
        <f t="shared" ref="G125" si="22">ROUND(F125*1.05,-1)</f>
        <v>0</v>
      </c>
      <c r="H125" s="415">
        <f t="shared" ref="H125" si="23">ROUND(G125*1.05,-1)</f>
        <v>0</v>
      </c>
      <c r="I125" s="415">
        <f t="shared" ref="I125" si="24">ROUND(H125*1.05,-1)</f>
        <v>0</v>
      </c>
      <c r="J125" s="415">
        <f t="shared" ref="J125" si="25">ROUND(I125*1.05,-1)</f>
        <v>0</v>
      </c>
      <c r="K125" s="415">
        <f t="shared" ref="K125" si="26">ROUND(J125*1.05,-1)</f>
        <v>0</v>
      </c>
      <c r="L125" s="415">
        <f t="shared" ref="L125" si="27">ROUND(K125*1.05,-1)</f>
        <v>0</v>
      </c>
    </row>
    <row r="126" spans="1:12">
      <c r="A126" s="563" t="s">
        <v>266</v>
      </c>
      <c r="B126" s="560" t="str">
        <f>+B44</f>
        <v>Waste</v>
      </c>
      <c r="C126" s="580"/>
      <c r="D126" s="415"/>
      <c r="E126" s="415"/>
      <c r="F126" s="415"/>
      <c r="G126" s="415"/>
      <c r="H126" s="415"/>
      <c r="I126" s="415"/>
      <c r="J126" s="415"/>
      <c r="K126" s="415"/>
      <c r="L126" s="415"/>
    </row>
    <row r="127" spans="1:12">
      <c r="A127" s="563"/>
    </row>
    <row r="128" spans="1:12">
      <c r="A128" s="563"/>
      <c r="B128" s="562" t="s">
        <v>882</v>
      </c>
    </row>
    <row r="129" spans="1:12">
      <c r="A129" s="563"/>
      <c r="B129" s="560" t="s">
        <v>631</v>
      </c>
      <c r="C129" s="415">
        <v>76000</v>
      </c>
      <c r="D129" s="415">
        <f t="shared" ref="D129" si="28">ROUND(C129*1.05,-1)</f>
        <v>79800</v>
      </c>
      <c r="E129" s="415">
        <f t="shared" ref="E129:L129" si="29">ROUND(D129*1.05,-1)</f>
        <v>83790</v>
      </c>
      <c r="F129" s="415">
        <f t="shared" si="29"/>
        <v>87980</v>
      </c>
      <c r="G129" s="415">
        <f t="shared" si="29"/>
        <v>92380</v>
      </c>
      <c r="H129" s="415">
        <f t="shared" si="29"/>
        <v>97000</v>
      </c>
      <c r="I129" s="415">
        <f t="shared" si="29"/>
        <v>101850</v>
      </c>
      <c r="J129" s="415">
        <f t="shared" si="29"/>
        <v>106940</v>
      </c>
      <c r="K129" s="415">
        <f t="shared" si="29"/>
        <v>112290</v>
      </c>
      <c r="L129" s="415">
        <f t="shared" si="29"/>
        <v>117900</v>
      </c>
    </row>
    <row r="130" spans="1:12">
      <c r="A130" s="563"/>
      <c r="B130" s="560" t="s">
        <v>632</v>
      </c>
      <c r="C130" s="415">
        <v>58500</v>
      </c>
      <c r="D130" s="415">
        <f t="shared" ref="D130:L130" si="30">ROUND(C130*1.05,-1)</f>
        <v>61430</v>
      </c>
      <c r="E130" s="415">
        <f t="shared" si="30"/>
        <v>64500</v>
      </c>
      <c r="F130" s="415">
        <f t="shared" si="30"/>
        <v>67730</v>
      </c>
      <c r="G130" s="415">
        <f t="shared" si="30"/>
        <v>71120</v>
      </c>
      <c r="H130" s="415">
        <f t="shared" si="30"/>
        <v>74680</v>
      </c>
      <c r="I130" s="415">
        <f t="shared" si="30"/>
        <v>78410</v>
      </c>
      <c r="J130" s="415">
        <f t="shared" si="30"/>
        <v>82330</v>
      </c>
      <c r="K130" s="415">
        <f t="shared" si="30"/>
        <v>86450</v>
      </c>
      <c r="L130" s="415">
        <f t="shared" si="30"/>
        <v>90770</v>
      </c>
    </row>
    <row r="131" spans="1:12">
      <c r="A131" s="563"/>
      <c r="B131" s="560" t="s">
        <v>643</v>
      </c>
      <c r="C131" s="415">
        <v>0</v>
      </c>
      <c r="D131" s="415">
        <f t="shared" ref="D131:L131" si="31">ROUND(C131*1.05,-1)</f>
        <v>0</v>
      </c>
      <c r="E131" s="415">
        <f t="shared" si="31"/>
        <v>0</v>
      </c>
      <c r="F131" s="415">
        <f t="shared" si="31"/>
        <v>0</v>
      </c>
      <c r="G131" s="415">
        <f t="shared" si="31"/>
        <v>0</v>
      </c>
      <c r="H131" s="415">
        <f t="shared" si="31"/>
        <v>0</v>
      </c>
      <c r="I131" s="415">
        <f t="shared" si="31"/>
        <v>0</v>
      </c>
      <c r="J131" s="415">
        <f t="shared" si="31"/>
        <v>0</v>
      </c>
      <c r="K131" s="415">
        <f t="shared" si="31"/>
        <v>0</v>
      </c>
      <c r="L131" s="415">
        <f t="shared" si="31"/>
        <v>0</v>
      </c>
    </row>
    <row r="132" spans="1:12">
      <c r="A132" s="563"/>
      <c r="C132" s="415"/>
      <c r="D132" s="415"/>
      <c r="E132" s="415"/>
      <c r="F132" s="415"/>
      <c r="G132" s="415"/>
      <c r="H132" s="415"/>
      <c r="I132" s="415"/>
      <c r="J132" s="415"/>
      <c r="K132" s="415"/>
      <c r="L132" s="415"/>
    </row>
    <row r="133" spans="1:12">
      <c r="A133" s="563"/>
      <c r="B133" s="562" t="str">
        <f>+B108</f>
        <v>Chana</v>
      </c>
      <c r="C133" s="415"/>
      <c r="D133" s="415"/>
      <c r="E133" s="415"/>
      <c r="F133" s="415"/>
      <c r="G133" s="415"/>
      <c r="H133" s="415"/>
      <c r="I133" s="415"/>
      <c r="J133" s="415"/>
      <c r="K133" s="415"/>
      <c r="L133" s="415"/>
    </row>
    <row r="134" spans="1:12">
      <c r="A134" s="563"/>
      <c r="B134" s="560" t="str">
        <f>+B57</f>
        <v>Chana Dal</v>
      </c>
      <c r="C134" s="415">
        <v>0</v>
      </c>
      <c r="D134" s="415">
        <f t="shared" ref="D134:D135" si="32">ROUND(C134*1.05,-1)</f>
        <v>0</v>
      </c>
      <c r="E134" s="415">
        <f t="shared" ref="E134:E135" si="33">ROUND(D134*1.05,-1)</f>
        <v>0</v>
      </c>
      <c r="F134" s="415">
        <f t="shared" ref="F134:F135" si="34">ROUND(E134*1.05,-1)</f>
        <v>0</v>
      </c>
      <c r="G134" s="415">
        <f t="shared" ref="G134:G135" si="35">ROUND(F134*1.05,-1)</f>
        <v>0</v>
      </c>
      <c r="H134" s="415">
        <f t="shared" ref="H134:H135" si="36">ROUND(G134*1.05,-1)</f>
        <v>0</v>
      </c>
      <c r="I134" s="415">
        <f t="shared" ref="I134:I135" si="37">ROUND(H134*1.05,-1)</f>
        <v>0</v>
      </c>
      <c r="J134" s="415">
        <f t="shared" ref="J134:J135" si="38">ROUND(I134*1.05,-1)</f>
        <v>0</v>
      </c>
      <c r="K134" s="415">
        <f t="shared" ref="K134:K135" si="39">ROUND(J134*1.05,-1)</f>
        <v>0</v>
      </c>
      <c r="L134" s="415">
        <f t="shared" ref="L134:L135" si="40">ROUND(K134*1.05,-1)</f>
        <v>0</v>
      </c>
    </row>
    <row r="135" spans="1:12">
      <c r="A135" s="563"/>
      <c r="B135" s="560" t="str">
        <f>+B58</f>
        <v>Husk/ Cattle Feed</v>
      </c>
      <c r="C135" s="415">
        <v>0</v>
      </c>
      <c r="D135" s="415">
        <f t="shared" si="32"/>
        <v>0</v>
      </c>
      <c r="E135" s="415">
        <f t="shared" si="33"/>
        <v>0</v>
      </c>
      <c r="F135" s="415">
        <f t="shared" si="34"/>
        <v>0</v>
      </c>
      <c r="G135" s="415">
        <f t="shared" si="35"/>
        <v>0</v>
      </c>
      <c r="H135" s="415">
        <f t="shared" si="36"/>
        <v>0</v>
      </c>
      <c r="I135" s="415">
        <f t="shared" si="37"/>
        <v>0</v>
      </c>
      <c r="J135" s="415">
        <f t="shared" si="38"/>
        <v>0</v>
      </c>
      <c r="K135" s="415">
        <f t="shared" si="39"/>
        <v>0</v>
      </c>
      <c r="L135" s="415">
        <f t="shared" si="40"/>
        <v>0</v>
      </c>
    </row>
    <row r="136" spans="1:12">
      <c r="A136" s="563"/>
    </row>
    <row r="137" spans="1:12" hidden="1">
      <c r="A137" s="563"/>
      <c r="B137" s="562" t="s">
        <v>455</v>
      </c>
    </row>
    <row r="138" spans="1:12" hidden="1">
      <c r="A138" s="563"/>
      <c r="B138" s="560" t="s">
        <v>646</v>
      </c>
      <c r="C138" s="415">
        <v>0</v>
      </c>
      <c r="D138" s="415">
        <f t="shared" ref="D138:L139" si="41">ROUND(C138*1.05,-1)</f>
        <v>0</v>
      </c>
      <c r="E138" s="415">
        <f t="shared" si="41"/>
        <v>0</v>
      </c>
      <c r="F138" s="415">
        <f t="shared" si="41"/>
        <v>0</v>
      </c>
      <c r="G138" s="415">
        <f t="shared" si="41"/>
        <v>0</v>
      </c>
      <c r="H138" s="415">
        <f t="shared" si="41"/>
        <v>0</v>
      </c>
      <c r="I138" s="415">
        <f t="shared" si="41"/>
        <v>0</v>
      </c>
      <c r="J138" s="415">
        <f t="shared" si="41"/>
        <v>0</v>
      </c>
      <c r="K138" s="415">
        <f t="shared" si="41"/>
        <v>0</v>
      </c>
      <c r="L138" s="415">
        <f t="shared" si="41"/>
        <v>0</v>
      </c>
    </row>
    <row r="139" spans="1:12" hidden="1">
      <c r="A139" s="563"/>
      <c r="B139" s="560" t="s">
        <v>647</v>
      </c>
      <c r="C139" s="415">
        <v>0</v>
      </c>
      <c r="D139" s="415">
        <f t="shared" si="41"/>
        <v>0</v>
      </c>
      <c r="E139" s="415">
        <f t="shared" si="41"/>
        <v>0</v>
      </c>
      <c r="F139" s="415">
        <f t="shared" si="41"/>
        <v>0</v>
      </c>
      <c r="G139" s="415">
        <f t="shared" si="41"/>
        <v>0</v>
      </c>
      <c r="H139" s="415">
        <f t="shared" si="41"/>
        <v>0</v>
      </c>
      <c r="I139" s="415">
        <f t="shared" si="41"/>
        <v>0</v>
      </c>
      <c r="J139" s="415">
        <f t="shared" si="41"/>
        <v>0</v>
      </c>
      <c r="K139" s="415">
        <f t="shared" si="41"/>
        <v>0</v>
      </c>
      <c r="L139" s="415">
        <f t="shared" si="41"/>
        <v>0</v>
      </c>
    </row>
    <row r="140" spans="1:12">
      <c r="A140" s="563"/>
      <c r="B140" s="562" t="str">
        <f>+B115</f>
        <v>Soyabean</v>
      </c>
      <c r="C140" s="415"/>
      <c r="D140" s="415"/>
      <c r="E140" s="415"/>
      <c r="F140" s="415"/>
      <c r="G140" s="415"/>
      <c r="H140" s="415"/>
      <c r="I140" s="415"/>
      <c r="J140" s="415"/>
      <c r="K140" s="415"/>
      <c r="L140" s="415"/>
    </row>
    <row r="141" spans="1:12">
      <c r="B141" s="560" t="str">
        <f>+B63</f>
        <v>Soyabean Dal</v>
      </c>
      <c r="C141" s="415">
        <v>0</v>
      </c>
      <c r="D141" s="415">
        <f t="shared" ref="D141:D142" si="42">ROUND(C141*1.05,-1)</f>
        <v>0</v>
      </c>
      <c r="E141" s="415">
        <f t="shared" ref="E141:E142" si="43">ROUND(D141*1.05,-1)</f>
        <v>0</v>
      </c>
      <c r="F141" s="415">
        <f t="shared" ref="F141:F142" si="44">ROUND(E141*1.05,-1)</f>
        <v>0</v>
      </c>
      <c r="G141" s="415">
        <f t="shared" ref="G141:G142" si="45">ROUND(F141*1.05,-1)</f>
        <v>0</v>
      </c>
      <c r="H141" s="415">
        <f t="shared" ref="H141:H142" si="46">ROUND(G141*1.05,-1)</f>
        <v>0</v>
      </c>
      <c r="I141" s="415">
        <f t="shared" ref="I141:I142" si="47">ROUND(H141*1.05,-1)</f>
        <v>0</v>
      </c>
      <c r="J141" s="415">
        <f t="shared" ref="J141:J142" si="48">ROUND(I141*1.05,-1)</f>
        <v>0</v>
      </c>
      <c r="K141" s="415">
        <f t="shared" ref="K141:K142" si="49">ROUND(J141*1.05,-1)</f>
        <v>0</v>
      </c>
      <c r="L141" s="415">
        <f t="shared" ref="L141:L142" si="50">ROUND(K141*1.05,-1)</f>
        <v>0</v>
      </c>
    </row>
    <row r="142" spans="1:12">
      <c r="B142" s="560" t="str">
        <f>+B64</f>
        <v>Husk/ Cattle Feed</v>
      </c>
      <c r="C142" s="415">
        <v>0</v>
      </c>
      <c r="D142" s="415">
        <f t="shared" si="42"/>
        <v>0</v>
      </c>
      <c r="E142" s="415">
        <f t="shared" si="43"/>
        <v>0</v>
      </c>
      <c r="F142" s="415">
        <f t="shared" si="44"/>
        <v>0</v>
      </c>
      <c r="G142" s="415">
        <f t="shared" si="45"/>
        <v>0</v>
      </c>
      <c r="H142" s="415">
        <f t="shared" si="46"/>
        <v>0</v>
      </c>
      <c r="I142" s="415">
        <f t="shared" si="47"/>
        <v>0</v>
      </c>
      <c r="J142" s="415">
        <f t="shared" si="48"/>
        <v>0</v>
      </c>
      <c r="K142" s="415">
        <f t="shared" si="49"/>
        <v>0</v>
      </c>
      <c r="L142" s="415">
        <f t="shared" si="50"/>
        <v>0</v>
      </c>
    </row>
    <row r="144" spans="1:12">
      <c r="B144" s="562" t="str">
        <f>+B123</f>
        <v>Udad</v>
      </c>
    </row>
    <row r="145" spans="1:12">
      <c r="B145" s="560" t="str">
        <f>+B69</f>
        <v>Udad Dal</v>
      </c>
      <c r="C145" s="415">
        <v>0</v>
      </c>
      <c r="D145" s="415">
        <f t="shared" ref="D145:D146" si="51">ROUND(C145*1.05,-1)</f>
        <v>0</v>
      </c>
      <c r="E145" s="415">
        <f t="shared" ref="E145:E146" si="52">ROUND(D145*1.05,-1)</f>
        <v>0</v>
      </c>
      <c r="F145" s="415">
        <f t="shared" ref="F145:F146" si="53">ROUND(E145*1.05,-1)</f>
        <v>0</v>
      </c>
      <c r="G145" s="415">
        <f t="shared" ref="G145:G146" si="54">ROUND(F145*1.05,-1)</f>
        <v>0</v>
      </c>
      <c r="H145" s="415">
        <f t="shared" ref="H145:H146" si="55">ROUND(G145*1.05,-1)</f>
        <v>0</v>
      </c>
      <c r="I145" s="415">
        <f t="shared" ref="I145:I146" si="56">ROUND(H145*1.05,-1)</f>
        <v>0</v>
      </c>
      <c r="J145" s="415">
        <f t="shared" ref="J145:J146" si="57">ROUND(I145*1.05,-1)</f>
        <v>0</v>
      </c>
      <c r="K145" s="415">
        <f t="shared" ref="K145:K146" si="58">ROUND(J145*1.05,-1)</f>
        <v>0</v>
      </c>
      <c r="L145" s="415">
        <f t="shared" ref="L145:L146" si="59">ROUND(K145*1.05,-1)</f>
        <v>0</v>
      </c>
    </row>
    <row r="146" spans="1:12">
      <c r="B146" s="560" t="str">
        <f>+B70</f>
        <v>Husk/ Cattle Feed</v>
      </c>
      <c r="C146" s="415">
        <v>0</v>
      </c>
      <c r="D146" s="415">
        <f t="shared" si="51"/>
        <v>0</v>
      </c>
      <c r="E146" s="415">
        <f t="shared" si="52"/>
        <v>0</v>
      </c>
      <c r="F146" s="415">
        <f t="shared" si="53"/>
        <v>0</v>
      </c>
      <c r="G146" s="415">
        <f t="shared" si="54"/>
        <v>0</v>
      </c>
      <c r="H146" s="415">
        <f t="shared" si="55"/>
        <v>0</v>
      </c>
      <c r="I146" s="415">
        <f t="shared" si="56"/>
        <v>0</v>
      </c>
      <c r="J146" s="415">
        <f t="shared" si="57"/>
        <v>0</v>
      </c>
      <c r="K146" s="415">
        <f t="shared" si="58"/>
        <v>0</v>
      </c>
      <c r="L146" s="415">
        <f t="shared" si="59"/>
        <v>0</v>
      </c>
    </row>
    <row r="148" spans="1:12">
      <c r="B148" s="562" t="str">
        <f>+B128</f>
        <v>Tur</v>
      </c>
    </row>
    <row r="149" spans="1:12">
      <c r="B149" s="560" t="str">
        <f>+B75</f>
        <v>Tur Dal</v>
      </c>
      <c r="C149" s="415">
        <v>0</v>
      </c>
      <c r="D149" s="415">
        <f t="shared" ref="D149:D150" si="60">ROUND(C149*1.05,-1)</f>
        <v>0</v>
      </c>
      <c r="E149" s="415">
        <f t="shared" ref="E149:E150" si="61">ROUND(D149*1.05,-1)</f>
        <v>0</v>
      </c>
      <c r="F149" s="415">
        <f t="shared" ref="F149:F150" si="62">ROUND(E149*1.05,-1)</f>
        <v>0</v>
      </c>
      <c r="G149" s="415">
        <f t="shared" ref="G149:G150" si="63">ROUND(F149*1.05,-1)</f>
        <v>0</v>
      </c>
      <c r="H149" s="415">
        <f t="shared" ref="H149:H150" si="64">ROUND(G149*1.05,-1)</f>
        <v>0</v>
      </c>
      <c r="I149" s="415">
        <f t="shared" ref="I149:I150" si="65">ROUND(H149*1.05,-1)</f>
        <v>0</v>
      </c>
      <c r="J149" s="415">
        <f t="shared" ref="J149:J150" si="66">ROUND(I149*1.05,-1)</f>
        <v>0</v>
      </c>
      <c r="K149" s="415">
        <f t="shared" ref="K149:K150" si="67">ROUND(J149*1.05,-1)</f>
        <v>0</v>
      </c>
      <c r="L149" s="415">
        <f t="shared" ref="L149:L150" si="68">ROUND(K149*1.05,-1)</f>
        <v>0</v>
      </c>
    </row>
    <row r="150" spans="1:12">
      <c r="B150" s="560" t="str">
        <f>+B76</f>
        <v>Husk/ Cattle Feed</v>
      </c>
      <c r="C150" s="415">
        <v>0</v>
      </c>
      <c r="D150" s="415">
        <f t="shared" si="60"/>
        <v>0</v>
      </c>
      <c r="E150" s="415">
        <f t="shared" si="61"/>
        <v>0</v>
      </c>
      <c r="F150" s="415">
        <f t="shared" si="62"/>
        <v>0</v>
      </c>
      <c r="G150" s="415">
        <f t="shared" si="63"/>
        <v>0</v>
      </c>
      <c r="H150" s="415">
        <f t="shared" si="64"/>
        <v>0</v>
      </c>
      <c r="I150" s="415">
        <f t="shared" si="65"/>
        <v>0</v>
      </c>
      <c r="J150" s="415">
        <f t="shared" si="66"/>
        <v>0</v>
      </c>
      <c r="K150" s="415">
        <f t="shared" si="67"/>
        <v>0</v>
      </c>
      <c r="L150" s="415">
        <f t="shared" si="68"/>
        <v>0</v>
      </c>
    </row>
    <row r="153" spans="1:12">
      <c r="A153" s="564">
        <v>13</v>
      </c>
      <c r="B153" s="562" t="s">
        <v>827</v>
      </c>
      <c r="C153" s="566">
        <v>0.09</v>
      </c>
    </row>
    <row r="155" spans="1:12">
      <c r="A155" s="564">
        <v>14</v>
      </c>
      <c r="B155" s="562" t="s">
        <v>828</v>
      </c>
      <c r="C155" s="560" t="s">
        <v>895</v>
      </c>
    </row>
    <row r="157" spans="1:12">
      <c r="A157" s="564">
        <v>13</v>
      </c>
      <c r="B157" s="562" t="s">
        <v>829</v>
      </c>
      <c r="C157" s="565">
        <v>0.26</v>
      </c>
    </row>
    <row r="159" spans="1:12">
      <c r="A159" s="564">
        <v>14</v>
      </c>
      <c r="B159" s="562" t="s">
        <v>830</v>
      </c>
      <c r="C159" s="560" t="s">
        <v>818</v>
      </c>
    </row>
    <row r="161" spans="1:10">
      <c r="A161" s="564">
        <v>15</v>
      </c>
      <c r="B161" s="562" t="s">
        <v>831</v>
      </c>
      <c r="C161" s="560" t="s">
        <v>836</v>
      </c>
    </row>
    <row r="163" spans="1:10">
      <c r="A163" s="564">
        <v>16</v>
      </c>
      <c r="B163" s="560" t="s">
        <v>839</v>
      </c>
    </row>
    <row r="164" spans="1:10">
      <c r="B164" s="326" t="s">
        <v>667</v>
      </c>
      <c r="C164" s="581">
        <v>0</v>
      </c>
    </row>
    <row r="165" spans="1:10">
      <c r="B165" s="348" t="s">
        <v>668</v>
      </c>
      <c r="C165" s="346">
        <v>15</v>
      </c>
    </row>
    <row r="166" spans="1:10">
      <c r="B166" s="348" t="s">
        <v>669</v>
      </c>
      <c r="C166" s="346">
        <v>12</v>
      </c>
    </row>
    <row r="167" spans="1:10">
      <c r="B167" s="348" t="s">
        <v>677</v>
      </c>
      <c r="C167" s="349">
        <v>0</v>
      </c>
    </row>
    <row r="169" spans="1:10">
      <c r="B169" s="354" t="s">
        <v>291</v>
      </c>
      <c r="C169" s="355">
        <v>0.55000000000000004</v>
      </c>
      <c r="D169" s="355">
        <f t="shared" ref="D169:I169" si="69">+C169+5%</f>
        <v>0.60000000000000009</v>
      </c>
      <c r="E169" s="355">
        <f t="shared" si="69"/>
        <v>0.65000000000000013</v>
      </c>
      <c r="F169" s="355">
        <f t="shared" si="69"/>
        <v>0.70000000000000018</v>
      </c>
      <c r="G169" s="355">
        <f t="shared" si="69"/>
        <v>0.75000000000000022</v>
      </c>
      <c r="H169" s="355">
        <f t="shared" si="69"/>
        <v>0.80000000000000027</v>
      </c>
      <c r="I169" s="355">
        <f t="shared" si="69"/>
        <v>0.85000000000000031</v>
      </c>
    </row>
    <row r="175" spans="1:10" customFormat="1" ht="28.5">
      <c r="A175" s="555"/>
      <c r="B175" s="542" t="s">
        <v>746</v>
      </c>
      <c r="D175" s="363"/>
      <c r="E175" s="363"/>
      <c r="F175" s="363"/>
      <c r="G175" s="363"/>
      <c r="H175" s="363"/>
      <c r="I175" s="363"/>
      <c r="J175" s="363"/>
    </row>
    <row r="176" spans="1:10" customFormat="1" ht="26.25">
      <c r="B176" s="548" t="s">
        <v>747</v>
      </c>
      <c r="C176" s="548" t="s">
        <v>0</v>
      </c>
      <c r="D176" s="549" t="s">
        <v>748</v>
      </c>
      <c r="E176" s="549"/>
      <c r="F176" s="549" t="s">
        <v>378</v>
      </c>
      <c r="G176" s="550" t="s">
        <v>749</v>
      </c>
      <c r="H176" s="550" t="s">
        <v>750</v>
      </c>
    </row>
    <row r="177" spans="2:8" customFormat="1">
      <c r="B177" s="443">
        <v>1</v>
      </c>
      <c r="C177" s="365" t="s">
        <v>751</v>
      </c>
      <c r="D177" s="443" t="s">
        <v>752</v>
      </c>
      <c r="E177" s="443" t="s">
        <v>753</v>
      </c>
      <c r="F177" s="443">
        <v>0</v>
      </c>
      <c r="G177" s="366">
        <v>40000</v>
      </c>
      <c r="H177" s="366">
        <f t="shared" ref="H177:H183" si="70">F177*G177*12/100000</f>
        <v>0</v>
      </c>
    </row>
    <row r="178" spans="2:8" customFormat="1">
      <c r="B178" s="443">
        <v>2</v>
      </c>
      <c r="C178" s="365" t="s">
        <v>754</v>
      </c>
      <c r="D178" s="443" t="s">
        <v>752</v>
      </c>
      <c r="E178" s="443" t="s">
        <v>755</v>
      </c>
      <c r="F178" s="443">
        <v>0</v>
      </c>
      <c r="G178" s="366">
        <v>18000</v>
      </c>
      <c r="H178" s="366">
        <f t="shared" si="70"/>
        <v>0</v>
      </c>
    </row>
    <row r="179" spans="2:8" customFormat="1" ht="26.25">
      <c r="B179" s="443">
        <v>3</v>
      </c>
      <c r="C179" s="365" t="s">
        <v>756</v>
      </c>
      <c r="D179" s="443" t="s">
        <v>752</v>
      </c>
      <c r="E179" s="443" t="s">
        <v>755</v>
      </c>
      <c r="F179" s="443">
        <v>0</v>
      </c>
      <c r="G179" s="366">
        <v>18000</v>
      </c>
      <c r="H179" s="366">
        <f t="shared" si="70"/>
        <v>0</v>
      </c>
    </row>
    <row r="180" spans="2:8" customFormat="1">
      <c r="B180" s="443">
        <v>4</v>
      </c>
      <c r="C180" s="444" t="s">
        <v>757</v>
      </c>
      <c r="D180" s="443" t="s">
        <v>752</v>
      </c>
      <c r="E180" s="443" t="s">
        <v>753</v>
      </c>
      <c r="F180" s="443">
        <v>1</v>
      </c>
      <c r="G180" s="366">
        <v>15000</v>
      </c>
      <c r="H180" s="366">
        <f t="shared" si="70"/>
        <v>1.8</v>
      </c>
    </row>
    <row r="181" spans="2:8" customFormat="1">
      <c r="B181" s="443">
        <v>5</v>
      </c>
      <c r="C181" s="365" t="s">
        <v>183</v>
      </c>
      <c r="D181" s="443" t="s">
        <v>752</v>
      </c>
      <c r="E181" s="443" t="s">
        <v>755</v>
      </c>
      <c r="F181" s="443">
        <v>1</v>
      </c>
      <c r="G181" s="366">
        <v>8000</v>
      </c>
      <c r="H181" s="366">
        <f t="shared" si="70"/>
        <v>0.96</v>
      </c>
    </row>
    <row r="182" spans="2:8" customFormat="1">
      <c r="B182" s="443">
        <v>6</v>
      </c>
      <c r="C182" s="365" t="s">
        <v>758</v>
      </c>
      <c r="D182" s="443" t="s">
        <v>752</v>
      </c>
      <c r="E182" s="443" t="s">
        <v>755</v>
      </c>
      <c r="F182" s="443">
        <v>1</v>
      </c>
      <c r="G182" s="366">
        <v>8000</v>
      </c>
      <c r="H182" s="366">
        <f t="shared" si="70"/>
        <v>0.96</v>
      </c>
    </row>
    <row r="183" spans="2:8" customFormat="1">
      <c r="B183" s="443">
        <v>7</v>
      </c>
      <c r="C183" s="365" t="s">
        <v>759</v>
      </c>
      <c r="D183" s="443" t="s">
        <v>752</v>
      </c>
      <c r="E183" s="443" t="s">
        <v>753</v>
      </c>
      <c r="F183" s="443">
        <v>1</v>
      </c>
      <c r="G183" s="366">
        <v>6000</v>
      </c>
      <c r="H183" s="366">
        <f t="shared" si="70"/>
        <v>0.72</v>
      </c>
    </row>
    <row r="184" spans="2:8" customFormat="1">
      <c r="B184" s="443"/>
      <c r="C184" s="365"/>
      <c r="D184" s="443"/>
      <c r="E184" s="443"/>
      <c r="F184" s="443"/>
      <c r="G184" s="366"/>
      <c r="H184" s="366"/>
    </row>
    <row r="185" spans="2:8" customFormat="1">
      <c r="B185" s="443">
        <v>8</v>
      </c>
      <c r="C185" s="365" t="s">
        <v>760</v>
      </c>
      <c r="D185" s="443" t="s">
        <v>761</v>
      </c>
      <c r="E185" s="443" t="s">
        <v>753</v>
      </c>
      <c r="F185" s="443">
        <v>1</v>
      </c>
      <c r="G185" s="366">
        <v>14000</v>
      </c>
      <c r="H185" s="366">
        <f t="shared" ref="H185:H191" si="71">F185*G185*12/100000</f>
        <v>1.68</v>
      </c>
    </row>
    <row r="186" spans="2:8" customFormat="1" ht="26.25">
      <c r="B186" s="443">
        <v>9</v>
      </c>
      <c r="C186" s="365" t="s">
        <v>762</v>
      </c>
      <c r="D186" s="443" t="s">
        <v>761</v>
      </c>
      <c r="E186" s="443" t="s">
        <v>753</v>
      </c>
      <c r="F186" s="443">
        <v>0</v>
      </c>
      <c r="G186" s="366">
        <v>11000</v>
      </c>
      <c r="H186" s="366">
        <f t="shared" si="71"/>
        <v>0</v>
      </c>
    </row>
    <row r="187" spans="2:8" customFormat="1">
      <c r="B187" s="443">
        <v>10</v>
      </c>
      <c r="C187" s="365" t="s">
        <v>763</v>
      </c>
      <c r="D187" s="443" t="s">
        <v>761</v>
      </c>
      <c r="E187" s="443" t="s">
        <v>764</v>
      </c>
      <c r="F187" s="443">
        <v>1</v>
      </c>
      <c r="G187" s="366">
        <v>12000</v>
      </c>
      <c r="H187" s="366">
        <f t="shared" si="71"/>
        <v>1.44</v>
      </c>
    </row>
    <row r="188" spans="2:8" customFormat="1">
      <c r="B188" s="443">
        <v>11</v>
      </c>
      <c r="C188" s="365" t="s">
        <v>765</v>
      </c>
      <c r="D188" s="443" t="s">
        <v>761</v>
      </c>
      <c r="E188" s="443" t="s">
        <v>753</v>
      </c>
      <c r="F188" s="443">
        <v>1</v>
      </c>
      <c r="G188" s="366">
        <v>7000</v>
      </c>
      <c r="H188" s="366">
        <f t="shared" si="71"/>
        <v>0.84</v>
      </c>
    </row>
    <row r="189" spans="2:8" customFormat="1">
      <c r="B189" s="443">
        <v>12</v>
      </c>
      <c r="C189" s="365" t="s">
        <v>766</v>
      </c>
      <c r="D189" s="443" t="s">
        <v>761</v>
      </c>
      <c r="E189" s="443"/>
      <c r="F189" s="443">
        <v>0</v>
      </c>
      <c r="G189" s="366">
        <v>8000</v>
      </c>
      <c r="H189" s="366">
        <f t="shared" si="71"/>
        <v>0</v>
      </c>
    </row>
    <row r="190" spans="2:8" customFormat="1">
      <c r="B190" s="443">
        <v>13</v>
      </c>
      <c r="C190" s="370" t="s">
        <v>767</v>
      </c>
      <c r="D190" s="443" t="s">
        <v>761</v>
      </c>
      <c r="E190" s="443" t="s">
        <v>753</v>
      </c>
      <c r="F190" s="443">
        <v>1</v>
      </c>
      <c r="G190" s="366">
        <v>9000</v>
      </c>
      <c r="H190" s="366">
        <f t="shared" si="71"/>
        <v>1.08</v>
      </c>
    </row>
    <row r="191" spans="2:8" customFormat="1">
      <c r="B191" s="443">
        <v>14</v>
      </c>
      <c r="C191" s="370" t="s">
        <v>768</v>
      </c>
      <c r="D191" s="443" t="s">
        <v>761</v>
      </c>
      <c r="E191" s="443" t="s">
        <v>764</v>
      </c>
      <c r="F191" s="443">
        <v>2</v>
      </c>
      <c r="G191" s="366">
        <v>0</v>
      </c>
      <c r="H191" s="366">
        <f t="shared" si="71"/>
        <v>0</v>
      </c>
    </row>
    <row r="192" spans="2:8" customFormat="1">
      <c r="B192" s="365"/>
      <c r="C192" s="367" t="s">
        <v>1</v>
      </c>
      <c r="D192" s="443"/>
      <c r="E192" s="443"/>
      <c r="F192" s="445">
        <f>SUM(F177:F191)</f>
        <v>10</v>
      </c>
      <c r="G192" s="446"/>
      <c r="H192" s="446">
        <f>SUM(H177:H191)</f>
        <v>9.4799999999999986</v>
      </c>
    </row>
    <row r="193" spans="2:12" customFormat="1">
      <c r="B193" s="365"/>
      <c r="C193" s="365"/>
      <c r="D193" s="443"/>
      <c r="E193" s="443"/>
      <c r="F193" s="443"/>
      <c r="G193" s="366"/>
      <c r="H193" s="366"/>
    </row>
    <row r="194" spans="2:12" customFormat="1">
      <c r="B194" s="365"/>
      <c r="C194" s="367" t="s">
        <v>769</v>
      </c>
      <c r="D194" s="443" t="s">
        <v>761</v>
      </c>
      <c r="E194" s="443"/>
      <c r="F194" s="447">
        <v>10</v>
      </c>
      <c r="G194" s="448" t="s">
        <v>770</v>
      </c>
      <c r="H194" s="448" t="s">
        <v>2</v>
      </c>
    </row>
    <row r="195" spans="2:12" customFormat="1"/>
    <row r="196" spans="2:12" customFormat="1">
      <c r="B196" s="10"/>
      <c r="C196" s="10" t="s">
        <v>2</v>
      </c>
      <c r="D196" s="10" t="s">
        <v>3</v>
      </c>
      <c r="E196" s="10" t="s">
        <v>4</v>
      </c>
      <c r="F196" s="10" t="s">
        <v>5</v>
      </c>
      <c r="G196" s="10" t="s">
        <v>6</v>
      </c>
      <c r="H196" s="10" t="s">
        <v>163</v>
      </c>
      <c r="I196" s="320" t="s">
        <v>162</v>
      </c>
      <c r="J196" s="449"/>
      <c r="K196" s="251"/>
      <c r="L196" s="251"/>
    </row>
    <row r="197" spans="2:12" customFormat="1">
      <c r="B197" s="367" t="s">
        <v>769</v>
      </c>
      <c r="C197" s="10">
        <v>10</v>
      </c>
      <c r="D197" s="10">
        <f t="shared" ref="D197:I197" si="72">ROUND(C197*1.1,0)</f>
        <v>11</v>
      </c>
      <c r="E197" s="10">
        <f t="shared" si="72"/>
        <v>12</v>
      </c>
      <c r="F197" s="10">
        <f t="shared" si="72"/>
        <v>13</v>
      </c>
      <c r="G197" s="10">
        <f t="shared" si="72"/>
        <v>14</v>
      </c>
      <c r="H197" s="10">
        <f t="shared" si="72"/>
        <v>15</v>
      </c>
      <c r="I197" s="320">
        <f t="shared" si="72"/>
        <v>17</v>
      </c>
      <c r="J197" s="450"/>
      <c r="K197" s="249"/>
      <c r="L197" s="249"/>
    </row>
    <row r="198" spans="2:12" customFormat="1">
      <c r="D198" s="363"/>
      <c r="E198" s="363"/>
      <c r="F198" s="363"/>
      <c r="G198" s="363"/>
      <c r="H198" s="363"/>
      <c r="I198" s="363"/>
      <c r="J198" s="363"/>
    </row>
    <row r="199" spans="2:12" customFormat="1">
      <c r="D199" s="363"/>
      <c r="E199" s="363"/>
      <c r="F199" s="363"/>
      <c r="G199" s="363"/>
      <c r="H199" s="363"/>
      <c r="I199" s="363"/>
      <c r="J199" s="363"/>
    </row>
    <row r="200" spans="2:12" customFormat="1">
      <c r="D200" s="363"/>
      <c r="E200" s="363"/>
      <c r="F200" s="363"/>
      <c r="G200" s="363"/>
      <c r="H200" s="363"/>
      <c r="I200" s="363"/>
      <c r="J200" s="363"/>
    </row>
    <row r="201" spans="2:12" customFormat="1" ht="26.25">
      <c r="B201" s="547" t="s">
        <v>775</v>
      </c>
      <c r="C201" s="551"/>
      <c r="D201" s="552"/>
      <c r="E201" s="552"/>
      <c r="F201" s="363"/>
      <c r="G201" s="363"/>
      <c r="H201" s="363"/>
      <c r="I201" s="363"/>
      <c r="J201" s="363"/>
    </row>
    <row r="202" spans="2:12" customFormat="1">
      <c r="B202" s="744" t="s">
        <v>773</v>
      </c>
      <c r="C202" s="744"/>
      <c r="D202" s="744"/>
      <c r="E202" s="744"/>
      <c r="F202" s="363"/>
      <c r="G202" s="363"/>
      <c r="H202" s="363"/>
      <c r="I202" s="363"/>
      <c r="J202" s="363"/>
    </row>
    <row r="203" spans="2:12" customFormat="1">
      <c r="B203" s="365">
        <v>5</v>
      </c>
      <c r="C203" s="365">
        <v>200</v>
      </c>
      <c r="D203" s="365">
        <v>12</v>
      </c>
      <c r="E203" s="364">
        <f>B203*C203*D203</f>
        <v>12000</v>
      </c>
      <c r="F203" s="363"/>
      <c r="G203" s="363"/>
      <c r="H203" s="363"/>
      <c r="I203" s="363"/>
      <c r="J203" s="363"/>
    </row>
    <row r="204" spans="2:12" customFormat="1">
      <c r="B204" s="365"/>
      <c r="C204" s="365"/>
      <c r="D204" s="365"/>
      <c r="E204" s="364"/>
      <c r="F204" s="363"/>
      <c r="G204" s="363"/>
      <c r="H204" s="363"/>
      <c r="I204" s="363">
        <v>28</v>
      </c>
      <c r="J204" s="363"/>
    </row>
    <row r="205" spans="2:12" customFormat="1">
      <c r="B205" s="365">
        <v>25</v>
      </c>
      <c r="C205" s="365">
        <v>200</v>
      </c>
      <c r="D205" s="365">
        <v>12</v>
      </c>
      <c r="E205" s="365">
        <f>B205*C205*D205</f>
        <v>60000</v>
      </c>
      <c r="F205" s="363"/>
      <c r="G205" s="363"/>
      <c r="H205" s="363"/>
      <c r="I205" s="363">
        <f>+I204/0.933</f>
        <v>30.010718113612004</v>
      </c>
      <c r="J205" s="363"/>
    </row>
    <row r="206" spans="2:12" customFormat="1">
      <c r="B206" s="745" t="s">
        <v>774</v>
      </c>
      <c r="C206" s="746"/>
      <c r="D206" s="746"/>
      <c r="E206" s="747"/>
      <c r="F206" s="363"/>
      <c r="G206" s="363"/>
      <c r="H206" s="363"/>
      <c r="I206" s="363"/>
      <c r="J206" s="363"/>
      <c r="L206">
        <v>63</v>
      </c>
    </row>
    <row r="207" spans="2:12" customFormat="1">
      <c r="B207" s="365">
        <f>B205+B203</f>
        <v>30</v>
      </c>
      <c r="C207" s="365"/>
      <c r="D207" s="365"/>
      <c r="E207" s="365"/>
      <c r="F207" s="363"/>
      <c r="G207" s="363"/>
      <c r="H207" s="363"/>
      <c r="I207" s="363"/>
      <c r="J207" s="363"/>
      <c r="L207">
        <f>+L206*0.993</f>
        <v>62.558999999999997</v>
      </c>
    </row>
    <row r="208" spans="2:12" customFormat="1">
      <c r="B208" s="365"/>
      <c r="C208" s="365"/>
      <c r="D208" s="365"/>
      <c r="E208" s="365"/>
      <c r="F208" s="363"/>
      <c r="G208" s="363"/>
      <c r="H208" s="363"/>
      <c r="I208" s="363"/>
      <c r="J208" s="363"/>
    </row>
    <row r="209" spans="2:10" customFormat="1">
      <c r="B209" s="365">
        <v>0.8</v>
      </c>
      <c r="C209" s="365"/>
      <c r="D209" s="365"/>
      <c r="E209" s="365"/>
      <c r="F209" s="363"/>
      <c r="G209" s="363"/>
      <c r="H209" s="363"/>
      <c r="I209" s="363"/>
      <c r="J209" s="363"/>
    </row>
    <row r="210" spans="2:10" customFormat="1">
      <c r="B210" s="365">
        <v>0.8</v>
      </c>
      <c r="C210" s="365"/>
      <c r="D210" s="365"/>
      <c r="E210" s="365"/>
      <c r="F210" s="363"/>
      <c r="G210" s="363"/>
      <c r="H210" s="363"/>
      <c r="I210" s="363"/>
      <c r="J210" s="363"/>
    </row>
    <row r="211" spans="2:10" customFormat="1">
      <c r="B211" s="365">
        <v>10</v>
      </c>
      <c r="C211" s="365"/>
      <c r="D211" s="365"/>
      <c r="E211" s="365"/>
      <c r="F211" s="363"/>
      <c r="G211" s="363"/>
      <c r="H211" s="363"/>
      <c r="I211" s="363"/>
      <c r="J211" s="363"/>
    </row>
    <row r="212" spans="2:10" customFormat="1">
      <c r="B212" s="365">
        <v>10</v>
      </c>
      <c r="C212" s="365"/>
      <c r="D212" s="365"/>
      <c r="E212" s="365"/>
      <c r="F212" s="363"/>
      <c r="G212" s="363"/>
      <c r="H212" s="363"/>
      <c r="I212" s="363"/>
      <c r="J212" s="363"/>
    </row>
    <row r="213" spans="2:10" customFormat="1">
      <c r="B213" s="364">
        <f>B207*B209*B210*B211*B212</f>
        <v>1920.0000000000002</v>
      </c>
      <c r="C213" s="365"/>
      <c r="D213" s="365"/>
      <c r="E213" s="365"/>
      <c r="F213" s="363"/>
      <c r="G213" s="363">
        <f>+B213/10</f>
        <v>192.00000000000003</v>
      </c>
      <c r="H213" s="363">
        <v>12</v>
      </c>
      <c r="I213" s="363"/>
      <c r="J213" s="363"/>
    </row>
    <row r="214" spans="2:10">
      <c r="H214" s="415">
        <f>+G213/H213</f>
        <v>16.000000000000004</v>
      </c>
    </row>
    <row r="216" spans="2:10" ht="18.75">
      <c r="B216" s="592" t="s">
        <v>840</v>
      </c>
    </row>
    <row r="217" spans="2:10">
      <c r="B217" s="589" t="s">
        <v>652</v>
      </c>
      <c r="C217" s="323" t="s">
        <v>0</v>
      </c>
      <c r="D217" s="590" t="s">
        <v>2</v>
      </c>
      <c r="E217" s="590" t="s">
        <v>3</v>
      </c>
      <c r="F217" s="590" t="s">
        <v>4</v>
      </c>
      <c r="G217" s="590" t="s">
        <v>5</v>
      </c>
      <c r="H217" s="590" t="s">
        <v>6</v>
      </c>
      <c r="I217" s="590" t="s">
        <v>163</v>
      </c>
      <c r="J217" s="593" t="s">
        <v>162</v>
      </c>
    </row>
    <row r="218" spans="2:10">
      <c r="B218" s="336" t="s">
        <v>167</v>
      </c>
      <c r="C218" s="313" t="s">
        <v>841</v>
      </c>
      <c r="D218" s="330">
        <v>10</v>
      </c>
      <c r="E218" s="330">
        <f>+ROUND(D218*1.05,)</f>
        <v>11</v>
      </c>
      <c r="F218" s="330">
        <f t="shared" ref="F218:J218" si="73">+ROUND(E218*1.05,)</f>
        <v>12</v>
      </c>
      <c r="G218" s="330">
        <f t="shared" si="73"/>
        <v>13</v>
      </c>
      <c r="H218" s="330">
        <f t="shared" si="73"/>
        <v>14</v>
      </c>
      <c r="I218" s="330">
        <f t="shared" si="73"/>
        <v>15</v>
      </c>
      <c r="J218" s="594">
        <f t="shared" si="73"/>
        <v>16</v>
      </c>
    </row>
    <row r="219" spans="2:10">
      <c r="C219" s="330" t="s">
        <v>843</v>
      </c>
      <c r="D219" s="337">
        <v>200</v>
      </c>
      <c r="E219" s="415">
        <f t="shared" ref="E219:J219" si="74">ROUND(D219*1.05,-1)</f>
        <v>210</v>
      </c>
      <c r="F219" s="415">
        <f t="shared" si="74"/>
        <v>220</v>
      </c>
      <c r="G219" s="415">
        <f t="shared" si="74"/>
        <v>230</v>
      </c>
      <c r="H219" s="415">
        <f t="shared" si="74"/>
        <v>240</v>
      </c>
      <c r="I219" s="415">
        <f t="shared" si="74"/>
        <v>250</v>
      </c>
      <c r="J219" s="415">
        <f t="shared" si="74"/>
        <v>260</v>
      </c>
    </row>
    <row r="221" spans="2:10">
      <c r="C221" s="313" t="s">
        <v>844</v>
      </c>
      <c r="D221" s="330">
        <v>10</v>
      </c>
      <c r="E221" s="330">
        <f>+ROUND(D221*1.05,)</f>
        <v>11</v>
      </c>
      <c r="F221" s="330">
        <f t="shared" ref="F221:J221" si="75">+ROUND(E221*1.05,)</f>
        <v>12</v>
      </c>
      <c r="G221" s="330">
        <f t="shared" si="75"/>
        <v>13</v>
      </c>
      <c r="H221" s="330">
        <f t="shared" si="75"/>
        <v>14</v>
      </c>
      <c r="I221" s="330">
        <f t="shared" si="75"/>
        <v>15</v>
      </c>
      <c r="J221" s="594">
        <f t="shared" si="75"/>
        <v>16</v>
      </c>
    </row>
    <row r="222" spans="2:10">
      <c r="C222" s="330" t="s">
        <v>843</v>
      </c>
      <c r="D222" s="415">
        <v>100</v>
      </c>
      <c r="E222" s="415">
        <f t="shared" ref="E222:J222" si="76">ROUND(D222*1.05,-1)</f>
        <v>110</v>
      </c>
      <c r="F222" s="415">
        <f t="shared" si="76"/>
        <v>120</v>
      </c>
      <c r="G222" s="415">
        <f t="shared" si="76"/>
        <v>130</v>
      </c>
      <c r="H222" s="415">
        <f t="shared" si="76"/>
        <v>140</v>
      </c>
      <c r="I222" s="415">
        <f t="shared" si="76"/>
        <v>150</v>
      </c>
      <c r="J222" s="415">
        <f t="shared" si="76"/>
        <v>160</v>
      </c>
    </row>
  </sheetData>
  <mergeCells count="2">
    <mergeCell ref="B202:E202"/>
    <mergeCell ref="B206:E20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3"/>
  <sheetViews>
    <sheetView view="pageBreakPreview" zoomScaleSheetLayoutView="100" workbookViewId="0">
      <selection activeCell="D5" sqref="D5"/>
    </sheetView>
  </sheetViews>
  <sheetFormatPr defaultRowHeight="15"/>
  <cols>
    <col min="2" max="2" width="7.5703125" bestFit="1" customWidth="1"/>
    <col min="3" max="3" width="26.28515625" bestFit="1" customWidth="1"/>
    <col min="4" max="4" width="15" style="363" customWidth="1"/>
    <col min="5" max="5" width="16" style="363" customWidth="1"/>
    <col min="6" max="6" width="17.85546875" style="363" customWidth="1"/>
  </cols>
  <sheetData>
    <row r="2" spans="1:13" ht="18.75">
      <c r="B2" s="676" t="s">
        <v>493</v>
      </c>
      <c r="C2" s="676"/>
      <c r="D2" s="676"/>
      <c r="E2" s="676"/>
      <c r="F2" s="676"/>
    </row>
    <row r="4" spans="1:13">
      <c r="B4" s="291" t="s">
        <v>140</v>
      </c>
      <c r="C4" s="291" t="s">
        <v>125</v>
      </c>
      <c r="D4" s="490" t="s">
        <v>154</v>
      </c>
      <c r="E4" s="491" t="s">
        <v>442</v>
      </c>
      <c r="F4" s="491" t="s">
        <v>443</v>
      </c>
    </row>
    <row r="5" spans="1:13">
      <c r="B5" s="292">
        <v>1</v>
      </c>
      <c r="C5" s="293" t="str">
        <f>'2.Capex Details'!B2</f>
        <v>Land and Building</v>
      </c>
      <c r="D5" s="492">
        <f>'2.Capex Details'!G12</f>
        <v>124.5</v>
      </c>
      <c r="E5" s="493">
        <v>0.6</v>
      </c>
      <c r="F5" s="494">
        <f>D5*E5</f>
        <v>74.7</v>
      </c>
    </row>
    <row r="6" spans="1:13">
      <c r="B6" s="292">
        <v>2</v>
      </c>
      <c r="C6" s="293" t="str">
        <f>'2.Capex Details'!B17</f>
        <v>Machinery and Equipment</v>
      </c>
      <c r="D6" s="492">
        <f>'2.Capex Details'!G64</f>
        <v>55.183</v>
      </c>
      <c r="E6" s="493">
        <v>0.6</v>
      </c>
      <c r="F6" s="494">
        <f t="shared" ref="F6:F10" si="0">D6*E6</f>
        <v>33.1098</v>
      </c>
      <c r="J6" s="363">
        <f>+J12-J11-J10</f>
        <v>300.29418395833335</v>
      </c>
    </row>
    <row r="7" spans="1:13">
      <c r="B7" s="292">
        <v>3</v>
      </c>
      <c r="C7" s="293" t="str">
        <f>'2.Capex Details'!B70</f>
        <v>Furniture and Fixture</v>
      </c>
      <c r="D7" s="492">
        <f>'2.Capex Details'!F79</f>
        <v>0</v>
      </c>
      <c r="E7" s="493">
        <v>0.6</v>
      </c>
      <c r="F7" s="494">
        <f t="shared" si="0"/>
        <v>0</v>
      </c>
      <c r="J7">
        <v>0</v>
      </c>
    </row>
    <row r="8" spans="1:13">
      <c r="B8" s="292">
        <v>4</v>
      </c>
      <c r="C8" s="293" t="str">
        <f>'2.Capex Details'!B84</f>
        <v>IT &amp; It Infrastracture</v>
      </c>
      <c r="D8" s="492">
        <f>'2.Capex Details'!F93</f>
        <v>0</v>
      </c>
      <c r="E8" s="493">
        <v>0.6</v>
      </c>
      <c r="F8" s="494">
        <f t="shared" si="0"/>
        <v>0</v>
      </c>
      <c r="J8">
        <v>0</v>
      </c>
    </row>
    <row r="9" spans="1:13" ht="25.5">
      <c r="B9" s="292">
        <v>5</v>
      </c>
      <c r="C9" s="293" t="str">
        <f>'2.Capex Details'!B98</f>
        <v>Transport vehical  (Refer van and other)</v>
      </c>
      <c r="D9" s="492">
        <f>'2.Capex Details'!F104</f>
        <v>0</v>
      </c>
      <c r="E9" s="493">
        <v>0.6</v>
      </c>
      <c r="F9" s="494">
        <f t="shared" si="0"/>
        <v>0</v>
      </c>
      <c r="J9">
        <v>0</v>
      </c>
    </row>
    <row r="10" spans="1:13">
      <c r="B10" s="292">
        <v>6</v>
      </c>
      <c r="C10" s="293" t="str">
        <f>'2.Capex Details'!B108</f>
        <v>Preliminary Expenses</v>
      </c>
      <c r="D10" s="492">
        <f>'2.Capex Details'!D116</f>
        <v>8.9841499999999996</v>
      </c>
      <c r="E10" s="493">
        <v>0.6</v>
      </c>
      <c r="F10" s="494">
        <f t="shared" si="0"/>
        <v>5.3904899999999998</v>
      </c>
      <c r="J10">
        <v>13.808500000000002</v>
      </c>
      <c r="K10">
        <v>5</v>
      </c>
      <c r="L10" t="s">
        <v>395</v>
      </c>
    </row>
    <row r="11" spans="1:13">
      <c r="B11" s="292">
        <v>7</v>
      </c>
      <c r="C11" s="293" t="s">
        <v>152</v>
      </c>
      <c r="D11" s="492">
        <f>'5.Closing Stock &amp; W Capital'!E57</f>
        <v>4.1989411111111075</v>
      </c>
      <c r="E11" s="494"/>
      <c r="F11" s="494"/>
      <c r="J11">
        <v>3.8973160416666675</v>
      </c>
    </row>
    <row r="12" spans="1:13">
      <c r="B12" s="675" t="s">
        <v>1</v>
      </c>
      <c r="C12" s="675"/>
      <c r="D12" s="495">
        <f>SUM(D5:D11)</f>
        <v>192.8660911111111</v>
      </c>
      <c r="E12" s="494"/>
      <c r="F12" s="495">
        <f>SUM(F5:F11)</f>
        <v>113.20029</v>
      </c>
      <c r="H12">
        <v>329.54</v>
      </c>
      <c r="I12" s="363">
        <f>+D12-H12</f>
        <v>-136.67390888888892</v>
      </c>
      <c r="J12" s="363">
        <v>318</v>
      </c>
    </row>
    <row r="13" spans="1:13">
      <c r="M13">
        <v>48</v>
      </c>
    </row>
    <row r="14" spans="1:13" ht="25.5" customHeight="1">
      <c r="A14" s="678" t="s">
        <v>396</v>
      </c>
      <c r="B14" s="678"/>
      <c r="C14" s="678"/>
      <c r="D14" s="678"/>
      <c r="E14" s="678"/>
      <c r="F14" s="678"/>
      <c r="M14">
        <v>11.64</v>
      </c>
    </row>
    <row r="15" spans="1:13">
      <c r="M15">
        <f>M13+M14</f>
        <v>59.64</v>
      </c>
    </row>
    <row r="16" spans="1:13" ht="18.75">
      <c r="B16" s="676" t="s">
        <v>494</v>
      </c>
      <c r="C16" s="676"/>
      <c r="D16" s="676"/>
      <c r="E16" s="676"/>
      <c r="F16" s="676"/>
      <c r="M16">
        <v>19.05</v>
      </c>
    </row>
    <row r="17" spans="2:13">
      <c r="M17">
        <f>M15+M16</f>
        <v>78.69</v>
      </c>
    </row>
    <row r="18" spans="2:13">
      <c r="B18" s="290" t="s">
        <v>140</v>
      </c>
      <c r="C18" s="291" t="s">
        <v>125</v>
      </c>
      <c r="D18" s="490" t="s">
        <v>583</v>
      </c>
      <c r="E18" s="490" t="s">
        <v>154</v>
      </c>
      <c r="F18" s="490" t="s">
        <v>438</v>
      </c>
    </row>
    <row r="19" spans="2:13" ht="25.5">
      <c r="B19" s="292">
        <v>1</v>
      </c>
      <c r="C19" s="293" t="s">
        <v>319</v>
      </c>
      <c r="D19" s="496"/>
      <c r="E19" s="496">
        <f>F12</f>
        <v>113.20029</v>
      </c>
      <c r="F19" s="553">
        <f>+E19/E22</f>
        <v>0.5869372337451727</v>
      </c>
    </row>
    <row r="20" spans="2:13">
      <c r="B20" s="292">
        <v>2</v>
      </c>
      <c r="C20" s="293" t="s">
        <v>153</v>
      </c>
      <c r="D20" s="626">
        <v>0.2</v>
      </c>
      <c r="E20" s="496">
        <f>SUM(D5:D10)*D20</f>
        <v>37.733429999999998</v>
      </c>
      <c r="F20" s="553">
        <f>+E20/E22</f>
        <v>0.19564574458172423</v>
      </c>
    </row>
    <row r="21" spans="2:13">
      <c r="B21" s="292">
        <v>3</v>
      </c>
      <c r="C21" s="293" t="s">
        <v>130</v>
      </c>
      <c r="D21" s="496"/>
      <c r="E21" s="496">
        <f>D12-E19-E20</f>
        <v>41.932371111111109</v>
      </c>
      <c r="F21" s="553">
        <f>+E21/E22</f>
        <v>0.21741702167310303</v>
      </c>
    </row>
    <row r="22" spans="2:13">
      <c r="B22" s="675" t="s">
        <v>1</v>
      </c>
      <c r="C22" s="675"/>
      <c r="D22" s="497"/>
      <c r="E22" s="497">
        <f>SUM(E19:E21)</f>
        <v>192.8660911111111</v>
      </c>
      <c r="F22" s="275">
        <v>1</v>
      </c>
    </row>
    <row r="24" spans="2:13">
      <c r="B24" s="677" t="s">
        <v>397</v>
      </c>
      <c r="C24" s="677"/>
      <c r="D24" s="677"/>
      <c r="E24" s="677"/>
      <c r="F24" s="677"/>
    </row>
    <row r="26" spans="2:13" ht="18.75">
      <c r="B26" s="674" t="s">
        <v>495</v>
      </c>
      <c r="C26" s="674"/>
      <c r="D26" s="674"/>
      <c r="E26" s="674"/>
      <c r="F26" s="674"/>
      <c r="K26">
        <v>23000</v>
      </c>
      <c r="L26">
        <v>300</v>
      </c>
      <c r="M26">
        <f>+L26*K26</f>
        <v>6900000</v>
      </c>
    </row>
    <row r="27" spans="2:13">
      <c r="B27" s="294" t="s">
        <v>140</v>
      </c>
      <c r="C27" s="295" t="s">
        <v>539</v>
      </c>
      <c r="D27" s="498" t="s">
        <v>540</v>
      </c>
      <c r="E27" s="499" t="s">
        <v>541</v>
      </c>
      <c r="F27" s="672" t="s">
        <v>542</v>
      </c>
      <c r="G27" s="673"/>
      <c r="K27">
        <v>5476405</v>
      </c>
    </row>
    <row r="28" spans="2:13" ht="25.5">
      <c r="B28" s="296">
        <v>1</v>
      </c>
      <c r="C28" s="293" t="s">
        <v>364</v>
      </c>
      <c r="D28" s="643">
        <f>'9. Financial indiacators'!C46</f>
        <v>0.47674219531251083</v>
      </c>
      <c r="E28" s="500" t="s">
        <v>365</v>
      </c>
      <c r="F28" s="501" t="s">
        <v>543</v>
      </c>
      <c r="G28" s="296" t="s">
        <v>366</v>
      </c>
      <c r="K28">
        <f>+K27/K26</f>
        <v>238.1045652173913</v>
      </c>
    </row>
    <row r="29" spans="2:13" ht="38.25">
      <c r="B29" s="296">
        <v>2</v>
      </c>
      <c r="C29" s="293" t="s">
        <v>367</v>
      </c>
      <c r="D29" s="643">
        <f>'9. Financial indiacators'!C82</f>
        <v>0.20405081516404827</v>
      </c>
      <c r="E29" s="500" t="s">
        <v>365</v>
      </c>
      <c r="F29" s="501" t="s">
        <v>544</v>
      </c>
      <c r="G29" s="296" t="s">
        <v>368</v>
      </c>
    </row>
    <row r="30" spans="2:13" ht="38.25">
      <c r="B30" s="296">
        <v>3</v>
      </c>
      <c r="C30" s="293" t="s">
        <v>369</v>
      </c>
      <c r="D30" s="643">
        <f>'9. Financial indiacators'!C16</f>
        <v>0.14727828810741528</v>
      </c>
      <c r="E30" s="500" t="s">
        <v>365</v>
      </c>
      <c r="F30" s="501" t="s">
        <v>545</v>
      </c>
      <c r="G30" s="296" t="s">
        <v>370</v>
      </c>
    </row>
    <row r="31" spans="2:13" ht="63.75">
      <c r="B31" s="296">
        <v>4</v>
      </c>
      <c r="C31" s="293" t="s">
        <v>371</v>
      </c>
      <c r="D31" s="630">
        <f>'9. Financial indiacators'!C70</f>
        <v>34.011245271982375</v>
      </c>
      <c r="E31" s="500" t="s">
        <v>375</v>
      </c>
      <c r="F31" s="501" t="s">
        <v>546</v>
      </c>
      <c r="G31" s="296" t="s">
        <v>372</v>
      </c>
    </row>
    <row r="32" spans="2:13" ht="51">
      <c r="B32" s="296">
        <v>5</v>
      </c>
      <c r="C32" s="293" t="s">
        <v>373</v>
      </c>
      <c r="D32" s="500">
        <f>'9. Financial indiacators'!D98</f>
        <v>4.4807482691525014</v>
      </c>
      <c r="E32" s="500" t="s">
        <v>365</v>
      </c>
      <c r="F32" s="501" t="s">
        <v>547</v>
      </c>
      <c r="G32" s="296" t="s">
        <v>376</v>
      </c>
    </row>
    <row r="33" spans="2:7" ht="38.25">
      <c r="B33" s="296">
        <v>6</v>
      </c>
      <c r="C33" s="297" t="s">
        <v>374</v>
      </c>
      <c r="D33" s="500">
        <f>+'9. Financial indiacators'!C116</f>
        <v>2.3853676367286711</v>
      </c>
      <c r="E33" s="502" t="s">
        <v>365</v>
      </c>
      <c r="F33" s="501" t="s">
        <v>548</v>
      </c>
      <c r="G33" s="297" t="s">
        <v>377</v>
      </c>
    </row>
  </sheetData>
  <mergeCells count="8">
    <mergeCell ref="F27:G27"/>
    <mergeCell ref="B26:F26"/>
    <mergeCell ref="B12:C12"/>
    <mergeCell ref="B22:C22"/>
    <mergeCell ref="B2:F2"/>
    <mergeCell ref="B16:F16"/>
    <mergeCell ref="B24:F24"/>
    <mergeCell ref="A14:F14"/>
  </mergeCells>
  <conditionalFormatting sqref="D23">
    <cfRule type="cellIs" dxfId="4"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22"/>
  <sheetViews>
    <sheetView tabSelected="1" view="pageBreakPreview" topLeftCell="A46" zoomScale="85" zoomScaleSheetLayoutView="85" workbookViewId="0">
      <selection activeCell="K70" sqref="K70"/>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3.5703125" style="18" bestFit="1" customWidth="1"/>
    <col min="8" max="8" width="11.5703125" bestFit="1" customWidth="1"/>
    <col min="11" max="11" width="12.140625" bestFit="1" customWidth="1"/>
  </cols>
  <sheetData>
    <row r="2" spans="1:7" ht="18.75">
      <c r="A2">
        <v>2.1</v>
      </c>
      <c r="B2" s="676" t="s">
        <v>150</v>
      </c>
      <c r="C2" s="676"/>
      <c r="D2" s="676"/>
      <c r="E2" s="676"/>
      <c r="F2" s="676"/>
      <c r="G2" s="676"/>
    </row>
    <row r="4" spans="1:7" ht="28.5">
      <c r="B4" s="177" t="s">
        <v>140</v>
      </c>
      <c r="C4" s="177" t="s">
        <v>125</v>
      </c>
      <c r="D4" s="177" t="s">
        <v>128</v>
      </c>
      <c r="E4" s="177" t="s">
        <v>141</v>
      </c>
      <c r="F4" s="177" t="s">
        <v>142</v>
      </c>
      <c r="G4" s="377" t="s">
        <v>154</v>
      </c>
    </row>
    <row r="5" spans="1:7">
      <c r="B5" s="222">
        <v>1</v>
      </c>
      <c r="C5" s="222" t="s">
        <v>143</v>
      </c>
      <c r="D5" s="222" t="s">
        <v>144</v>
      </c>
      <c r="E5" s="298"/>
      <c r="F5" s="299"/>
      <c r="G5" s="378" t="s">
        <v>145</v>
      </c>
    </row>
    <row r="6" spans="1:7">
      <c r="B6" s="222"/>
      <c r="C6" s="375" t="s">
        <v>921</v>
      </c>
      <c r="D6" s="223" t="s">
        <v>288</v>
      </c>
      <c r="E6" s="190">
        <v>800</v>
      </c>
      <c r="F6" s="651">
        <f>+G6*100000/E6</f>
        <v>11557.5</v>
      </c>
      <c r="G6" s="379">
        <v>92.46</v>
      </c>
    </row>
    <row r="7" spans="1:7">
      <c r="B7" s="222"/>
      <c r="C7" s="222" t="s">
        <v>922</v>
      </c>
      <c r="D7" s="223" t="s">
        <v>923</v>
      </c>
      <c r="E7" s="642">
        <v>180</v>
      </c>
      <c r="F7" s="651">
        <v>17800</v>
      </c>
      <c r="G7" s="379">
        <f>+E7*F7/100000</f>
        <v>32.04</v>
      </c>
    </row>
    <row r="8" spans="1:7">
      <c r="B8" s="222"/>
      <c r="C8" s="222"/>
      <c r="D8" s="223"/>
      <c r="E8" s="190"/>
      <c r="F8" s="191"/>
      <c r="G8" s="379">
        <f t="shared" ref="G8:G11" si="0">E8*F8</f>
        <v>0</v>
      </c>
    </row>
    <row r="9" spans="1:7">
      <c r="B9" s="222"/>
      <c r="C9" s="222"/>
      <c r="D9" s="223"/>
      <c r="E9" s="190"/>
      <c r="F9" s="191"/>
      <c r="G9" s="379">
        <f t="shared" si="0"/>
        <v>0</v>
      </c>
    </row>
    <row r="10" spans="1:7">
      <c r="B10" s="222"/>
      <c r="C10" s="222"/>
      <c r="D10" s="223"/>
      <c r="E10" s="190"/>
      <c r="F10" s="191"/>
      <c r="G10" s="379">
        <f t="shared" si="0"/>
        <v>0</v>
      </c>
    </row>
    <row r="11" spans="1:7">
      <c r="B11" s="222"/>
      <c r="C11" s="222"/>
      <c r="D11" s="223"/>
      <c r="E11" s="190"/>
      <c r="F11" s="191"/>
      <c r="G11" s="379">
        <f t="shared" si="0"/>
        <v>0</v>
      </c>
    </row>
    <row r="12" spans="1:7">
      <c r="B12" s="686" t="s">
        <v>1</v>
      </c>
      <c r="C12" s="686"/>
      <c r="D12" s="686"/>
      <c r="E12" s="686"/>
      <c r="F12" s="686"/>
      <c r="G12" s="380">
        <f>SUM(G6:G11)</f>
        <v>124.5</v>
      </c>
    </row>
    <row r="15" spans="1:7">
      <c r="B15" s="677" t="s">
        <v>391</v>
      </c>
      <c r="C15" s="677"/>
      <c r="D15" s="677"/>
      <c r="E15" s="677"/>
      <c r="F15" s="677"/>
      <c r="G15" s="677"/>
    </row>
    <row r="17" spans="1:8" ht="18.75">
      <c r="A17">
        <v>2.2000000000000002</v>
      </c>
      <c r="B17" s="676" t="s">
        <v>151</v>
      </c>
      <c r="C17" s="676"/>
      <c r="D17" s="676"/>
      <c r="E17" s="676"/>
      <c r="F17" s="676"/>
      <c r="G17" s="676"/>
      <c r="H17" s="676"/>
    </row>
    <row r="18" spans="1:8">
      <c r="B18" s="19"/>
    </row>
    <row r="19" spans="1:8" ht="28.5">
      <c r="B19" s="273" t="s">
        <v>140</v>
      </c>
      <c r="C19" s="273" t="s">
        <v>146</v>
      </c>
      <c r="D19" s="273" t="s">
        <v>156</v>
      </c>
      <c r="E19" s="273" t="s">
        <v>147</v>
      </c>
      <c r="F19" s="273" t="s">
        <v>148</v>
      </c>
      <c r="G19" s="377" t="s">
        <v>154</v>
      </c>
      <c r="H19" s="273" t="s">
        <v>149</v>
      </c>
    </row>
    <row r="20" spans="1:8">
      <c r="B20" s="199"/>
      <c r="C20" s="192"/>
      <c r="D20" s="192"/>
      <c r="E20" s="192"/>
      <c r="F20" s="192"/>
      <c r="G20" s="376"/>
      <c r="H20" s="192"/>
    </row>
    <row r="21" spans="1:8">
      <c r="B21" s="195" t="s">
        <v>167</v>
      </c>
      <c r="C21" s="194" t="s">
        <v>350</v>
      </c>
      <c r="D21" s="194"/>
      <c r="E21" s="195"/>
      <c r="F21" s="196"/>
      <c r="G21" s="376">
        <f t="shared" ref="G21:G31" si="1">E21*F21</f>
        <v>0</v>
      </c>
      <c r="H21" s="197"/>
    </row>
    <row r="22" spans="1:8">
      <c r="B22" s="195"/>
      <c r="C22" s="194"/>
      <c r="D22" s="194"/>
      <c r="E22" s="195"/>
      <c r="F22" s="196"/>
      <c r="G22" s="376">
        <f t="shared" si="1"/>
        <v>0</v>
      </c>
      <c r="H22" s="197"/>
    </row>
    <row r="23" spans="1:8">
      <c r="B23" s="195"/>
      <c r="C23" s="194"/>
      <c r="D23" s="194"/>
      <c r="E23" s="195"/>
      <c r="F23" s="196"/>
      <c r="G23" s="376">
        <f t="shared" si="1"/>
        <v>0</v>
      </c>
      <c r="H23" s="197"/>
    </row>
    <row r="24" spans="1:8">
      <c r="B24" s="195"/>
      <c r="C24" s="194"/>
      <c r="D24" s="194"/>
      <c r="E24" s="195"/>
      <c r="F24" s="196"/>
      <c r="G24" s="376">
        <f t="shared" si="1"/>
        <v>0</v>
      </c>
      <c r="H24" s="197"/>
    </row>
    <row r="25" spans="1:8">
      <c r="B25" s="195"/>
      <c r="C25" s="194"/>
      <c r="D25" s="194"/>
      <c r="E25" s="195"/>
      <c r="F25" s="196"/>
      <c r="G25" s="376">
        <f t="shared" si="1"/>
        <v>0</v>
      </c>
      <c r="H25" s="197"/>
    </row>
    <row r="26" spans="1:8">
      <c r="B26" s="195"/>
      <c r="C26" s="194"/>
      <c r="D26" s="194"/>
      <c r="E26" s="195"/>
      <c r="F26" s="196"/>
      <c r="G26" s="376">
        <f t="shared" si="1"/>
        <v>0</v>
      </c>
      <c r="H26" s="197"/>
    </row>
    <row r="27" spans="1:8">
      <c r="B27" s="195"/>
      <c r="C27" s="194"/>
      <c r="D27" s="194"/>
      <c r="E27" s="195"/>
      <c r="F27" s="196"/>
      <c r="G27" s="376">
        <f t="shared" si="1"/>
        <v>0</v>
      </c>
      <c r="H27" s="197"/>
    </row>
    <row r="28" spans="1:8">
      <c r="B28" s="195"/>
      <c r="C28" s="194"/>
      <c r="D28" s="194"/>
      <c r="E28" s="195"/>
      <c r="F28" s="196"/>
      <c r="G28" s="376">
        <f t="shared" si="1"/>
        <v>0</v>
      </c>
      <c r="H28" s="197"/>
    </row>
    <row r="29" spans="1:8">
      <c r="B29" s="195"/>
      <c r="C29" s="194"/>
      <c r="D29" s="195"/>
      <c r="E29" s="195"/>
      <c r="F29" s="196"/>
      <c r="G29" s="376">
        <f t="shared" si="1"/>
        <v>0</v>
      </c>
      <c r="H29" s="197"/>
    </row>
    <row r="30" spans="1:8">
      <c r="B30" s="195"/>
      <c r="C30" s="194"/>
      <c r="D30" s="195"/>
      <c r="E30" s="195"/>
      <c r="F30" s="196"/>
      <c r="G30" s="376">
        <f t="shared" si="1"/>
        <v>0</v>
      </c>
      <c r="H30" s="197"/>
    </row>
    <row r="31" spans="1:8">
      <c r="B31" s="195"/>
      <c r="C31" s="194"/>
      <c r="D31" s="195"/>
      <c r="E31" s="195"/>
      <c r="F31" s="196"/>
      <c r="G31" s="376">
        <f t="shared" si="1"/>
        <v>0</v>
      </c>
      <c r="H31" s="197"/>
    </row>
    <row r="32" spans="1:8">
      <c r="B32" s="682" t="s">
        <v>165</v>
      </c>
      <c r="C32" s="682"/>
      <c r="D32" s="195"/>
      <c r="E32" s="195"/>
      <c r="F32" s="198"/>
      <c r="G32" s="376">
        <f>SUM(G21:G31)</f>
        <v>0</v>
      </c>
      <c r="H32" s="193">
        <f>SUM(H21:H31)</f>
        <v>0</v>
      </c>
    </row>
    <row r="33" spans="2:8">
      <c r="B33" s="195" t="s">
        <v>168</v>
      </c>
      <c r="C33" s="194" t="s">
        <v>282</v>
      </c>
      <c r="D33" s="199"/>
      <c r="E33" s="199"/>
      <c r="F33" s="193"/>
      <c r="G33" s="376"/>
      <c r="H33" s="192"/>
    </row>
    <row r="34" spans="2:8">
      <c r="B34" s="199"/>
      <c r="C34" s="200"/>
      <c r="D34" s="200"/>
      <c r="E34" s="199"/>
      <c r="F34" s="193"/>
      <c r="G34" s="376">
        <f t="shared" ref="G34:G39" si="2">E34*F34</f>
        <v>0</v>
      </c>
      <c r="H34" s="192"/>
    </row>
    <row r="35" spans="2:8">
      <c r="B35" s="199"/>
      <c r="C35" s="200"/>
      <c r="D35" s="199"/>
      <c r="E35" s="199"/>
      <c r="F35" s="193"/>
      <c r="G35" s="376">
        <f t="shared" si="2"/>
        <v>0</v>
      </c>
      <c r="H35" s="192"/>
    </row>
    <row r="36" spans="2:8">
      <c r="B36" s="199"/>
      <c r="C36" s="200"/>
      <c r="D36" s="199"/>
      <c r="E36" s="199"/>
      <c r="F36" s="193"/>
      <c r="G36" s="376">
        <f t="shared" si="2"/>
        <v>0</v>
      </c>
      <c r="H36" s="192"/>
    </row>
    <row r="37" spans="2:8">
      <c r="B37" s="199"/>
      <c r="C37" s="200"/>
      <c r="D37" s="199"/>
      <c r="E37" s="199"/>
      <c r="F37" s="193"/>
      <c r="G37" s="376">
        <f t="shared" si="2"/>
        <v>0</v>
      </c>
      <c r="H37" s="192"/>
    </row>
    <row r="38" spans="2:8">
      <c r="B38" s="199"/>
      <c r="C38" s="200"/>
      <c r="D38" s="199"/>
      <c r="E38" s="199"/>
      <c r="F38" s="193"/>
      <c r="G38" s="376">
        <f t="shared" si="2"/>
        <v>0</v>
      </c>
      <c r="H38" s="192"/>
    </row>
    <row r="39" spans="2:8">
      <c r="B39" s="199"/>
      <c r="C39" s="200"/>
      <c r="D39" s="199"/>
      <c r="E39" s="199"/>
      <c r="F39" s="193"/>
      <c r="G39" s="376">
        <f t="shared" si="2"/>
        <v>0</v>
      </c>
      <c r="H39" s="192"/>
    </row>
    <row r="40" spans="2:8">
      <c r="B40" s="199"/>
      <c r="C40" s="200"/>
      <c r="D40" s="199"/>
      <c r="E40" s="199"/>
      <c r="F40" s="193"/>
      <c r="G40" s="376">
        <f t="shared" ref="G40:G46" si="3">F40</f>
        <v>0</v>
      </c>
      <c r="H40" s="192"/>
    </row>
    <row r="41" spans="2:8">
      <c r="B41" s="199"/>
      <c r="C41" s="200"/>
      <c r="D41" s="199"/>
      <c r="E41" s="199"/>
      <c r="F41" s="193"/>
      <c r="G41" s="376">
        <f t="shared" si="3"/>
        <v>0</v>
      </c>
      <c r="H41" s="192"/>
    </row>
    <row r="42" spans="2:8">
      <c r="B42" s="199"/>
      <c r="C42" s="200"/>
      <c r="D42" s="199"/>
      <c r="E42" s="199"/>
      <c r="F42" s="193"/>
      <c r="G42" s="376">
        <f t="shared" si="3"/>
        <v>0</v>
      </c>
      <c r="H42" s="192"/>
    </row>
    <row r="43" spans="2:8">
      <c r="B43" s="199"/>
      <c r="C43" s="200"/>
      <c r="D43" s="199"/>
      <c r="E43" s="199"/>
      <c r="F43" s="193"/>
      <c r="G43" s="376">
        <f t="shared" si="3"/>
        <v>0</v>
      </c>
      <c r="H43" s="192"/>
    </row>
    <row r="44" spans="2:8">
      <c r="B44" s="199"/>
      <c r="C44" s="200"/>
      <c r="D44" s="199"/>
      <c r="E44" s="199"/>
      <c r="F44" s="193"/>
      <c r="G44" s="376">
        <f t="shared" si="3"/>
        <v>0</v>
      </c>
      <c r="H44" s="192"/>
    </row>
    <row r="45" spans="2:8">
      <c r="B45" s="199"/>
      <c r="C45" s="200"/>
      <c r="D45" s="199"/>
      <c r="E45" s="199"/>
      <c r="F45" s="193"/>
      <c r="G45" s="376">
        <f t="shared" si="3"/>
        <v>0</v>
      </c>
      <c r="H45" s="192"/>
    </row>
    <row r="46" spans="2:8">
      <c r="B46" s="199"/>
      <c r="C46" s="200"/>
      <c r="D46" s="199"/>
      <c r="E46" s="199"/>
      <c r="F46" s="193"/>
      <c r="G46" s="376">
        <f t="shared" si="3"/>
        <v>0</v>
      </c>
      <c r="H46" s="192"/>
    </row>
    <row r="47" spans="2:8">
      <c r="B47" s="682" t="s">
        <v>165</v>
      </c>
      <c r="C47" s="682"/>
      <c r="D47" s="195"/>
      <c r="E47" s="195"/>
      <c r="F47" s="198"/>
      <c r="G47" s="381">
        <f>SUM(G34:G46)</f>
        <v>0</v>
      </c>
      <c r="H47" s="198">
        <f>SUM(H34:H46)</f>
        <v>0</v>
      </c>
    </row>
    <row r="48" spans="2:8">
      <c r="B48" s="199"/>
      <c r="C48" s="200"/>
      <c r="D48" s="199"/>
      <c r="E48" s="199"/>
      <c r="F48" s="193"/>
      <c r="G48" s="376"/>
      <c r="H48" s="192"/>
    </row>
    <row r="49" spans="2:14">
      <c r="B49" s="195" t="s">
        <v>169</v>
      </c>
      <c r="C49" s="194" t="s">
        <v>351</v>
      </c>
      <c r="D49" s="199"/>
      <c r="E49" s="199"/>
      <c r="F49" s="193"/>
      <c r="G49" s="376">
        <f t="shared" ref="G49:G54" si="4">E49*F49</f>
        <v>0</v>
      </c>
      <c r="H49" s="192"/>
    </row>
    <row r="50" spans="2:14">
      <c r="B50" s="195"/>
      <c r="C50" s="194"/>
      <c r="D50" s="199"/>
      <c r="E50" s="199"/>
      <c r="F50" s="193"/>
      <c r="G50" s="376">
        <f t="shared" si="4"/>
        <v>0</v>
      </c>
      <c r="H50" s="192"/>
    </row>
    <row r="51" spans="2:14">
      <c r="B51" s="195"/>
      <c r="C51" s="194"/>
      <c r="D51" s="200"/>
      <c r="E51" s="199"/>
      <c r="F51" s="193"/>
      <c r="G51" s="376">
        <f t="shared" si="4"/>
        <v>0</v>
      </c>
      <c r="H51" s="192"/>
    </row>
    <row r="52" spans="2:14">
      <c r="B52" s="195"/>
      <c r="C52" s="194"/>
      <c r="D52" s="200"/>
      <c r="E52" s="199"/>
      <c r="F52" s="193"/>
      <c r="G52" s="376">
        <f t="shared" si="4"/>
        <v>0</v>
      </c>
      <c r="H52" s="192"/>
    </row>
    <row r="53" spans="2:14">
      <c r="B53" s="195"/>
      <c r="C53" s="194"/>
      <c r="D53" s="200"/>
      <c r="E53" s="199"/>
      <c r="F53" s="193"/>
      <c r="G53" s="376">
        <f t="shared" si="4"/>
        <v>0</v>
      </c>
      <c r="H53" s="192"/>
    </row>
    <row r="54" spans="2:14">
      <c r="B54" s="195"/>
      <c r="C54" s="194"/>
      <c r="D54" s="200"/>
      <c r="E54" s="199"/>
      <c r="F54" s="193"/>
      <c r="G54" s="376">
        <f t="shared" si="4"/>
        <v>0</v>
      </c>
      <c r="H54" s="192"/>
    </row>
    <row r="55" spans="2:14">
      <c r="B55" s="682" t="s">
        <v>165</v>
      </c>
      <c r="C55" s="682"/>
      <c r="D55" s="200"/>
      <c r="E55" s="199"/>
      <c r="F55" s="193"/>
      <c r="G55" s="376">
        <f>SUM(G49:G54)</f>
        <v>0</v>
      </c>
      <c r="H55" s="193">
        <f>SUM(H49:H54)</f>
        <v>0</v>
      </c>
    </row>
    <row r="56" spans="2:14">
      <c r="B56" s="195"/>
      <c r="C56" s="195"/>
      <c r="D56" s="200"/>
      <c r="E56" s="199"/>
      <c r="F56" s="193"/>
      <c r="G56" s="376"/>
      <c r="H56" s="193"/>
    </row>
    <row r="57" spans="2:14">
      <c r="B57" s="195" t="s">
        <v>170</v>
      </c>
      <c r="C57" s="195" t="s">
        <v>928</v>
      </c>
      <c r="D57" s="200"/>
      <c r="E57" s="199"/>
      <c r="F57" s="193"/>
      <c r="G57" s="376">
        <f>E57*F57</f>
        <v>0</v>
      </c>
      <c r="H57" s="193"/>
    </row>
    <row r="58" spans="2:14">
      <c r="B58" s="195"/>
      <c r="C58" s="375" t="s">
        <v>924</v>
      </c>
      <c r="D58" s="200" t="s">
        <v>929</v>
      </c>
      <c r="E58" s="199">
        <v>1</v>
      </c>
      <c r="F58" s="193">
        <v>3510500</v>
      </c>
      <c r="G58" s="376">
        <f>+E58*F58/100000</f>
        <v>35.104999999999997</v>
      </c>
      <c r="H58" s="193"/>
      <c r="K58">
        <v>3322526</v>
      </c>
    </row>
    <row r="59" spans="2:14">
      <c r="B59" s="195"/>
      <c r="C59" s="194" t="s">
        <v>913</v>
      </c>
      <c r="D59" s="200" t="s">
        <v>930</v>
      </c>
      <c r="E59" s="199">
        <v>1</v>
      </c>
      <c r="F59" s="193">
        <v>320000</v>
      </c>
      <c r="G59" s="376">
        <f t="shared" ref="G59:G61" si="5">E59*F59/100000</f>
        <v>3.2</v>
      </c>
      <c r="H59" s="193"/>
      <c r="K59">
        <v>141600</v>
      </c>
      <c r="L59">
        <f>+K62-K59</f>
        <v>137700</v>
      </c>
    </row>
    <row r="60" spans="2:14">
      <c r="B60" s="195"/>
      <c r="C60" s="194" t="s">
        <v>931</v>
      </c>
      <c r="D60" s="200" t="s">
        <v>932</v>
      </c>
      <c r="E60" s="199">
        <v>1</v>
      </c>
      <c r="F60" s="193">
        <v>850000</v>
      </c>
      <c r="G60" s="376">
        <f t="shared" si="5"/>
        <v>8.5</v>
      </c>
      <c r="H60" s="192"/>
      <c r="K60">
        <f>+K58-K59</f>
        <v>3180926</v>
      </c>
      <c r="L60">
        <v>2815700</v>
      </c>
      <c r="N60">
        <v>2815700</v>
      </c>
    </row>
    <row r="61" spans="2:14">
      <c r="B61" s="650"/>
      <c r="C61" s="194" t="s">
        <v>925</v>
      </c>
      <c r="D61" s="200" t="s">
        <v>933</v>
      </c>
      <c r="E61" s="199">
        <v>1</v>
      </c>
      <c r="F61" s="193">
        <v>837800</v>
      </c>
      <c r="G61" s="376">
        <f t="shared" si="5"/>
        <v>8.3780000000000001</v>
      </c>
      <c r="H61" s="192"/>
      <c r="K61" s="748">
        <f>+F58-K60</f>
        <v>329574</v>
      </c>
      <c r="L61">
        <f>+L60+L59</f>
        <v>2953400</v>
      </c>
      <c r="N61">
        <f>+N60-120000</f>
        <v>2695700</v>
      </c>
    </row>
    <row r="62" spans="2:14">
      <c r="B62" s="682" t="s">
        <v>165</v>
      </c>
      <c r="C62" s="682"/>
      <c r="D62" s="200"/>
      <c r="E62" s="199"/>
      <c r="F62" s="193"/>
      <c r="G62" s="376">
        <f>SUM(G58:G61)</f>
        <v>55.183</v>
      </c>
      <c r="H62" s="193">
        <f>SUM(H57:H60)</f>
        <v>0</v>
      </c>
      <c r="K62">
        <f>+K61/118*100</f>
        <v>279300</v>
      </c>
      <c r="N62">
        <v>279300</v>
      </c>
    </row>
    <row r="63" spans="2:14">
      <c r="B63" s="199"/>
      <c r="C63" s="200"/>
      <c r="D63" s="200"/>
      <c r="E63" s="199"/>
      <c r="F63" s="193"/>
      <c r="G63" s="376"/>
      <c r="H63" s="192"/>
      <c r="K63" s="748">
        <f>+K61-K62</f>
        <v>50274</v>
      </c>
      <c r="N63">
        <f>SUM(N61:N62)</f>
        <v>2975000</v>
      </c>
    </row>
    <row r="64" spans="2:14">
      <c r="B64" s="683" t="s">
        <v>1</v>
      </c>
      <c r="C64" s="683"/>
      <c r="D64" s="683"/>
      <c r="E64" s="683"/>
      <c r="F64" s="683"/>
      <c r="G64" s="382">
        <f>G55+G47+G32+G62</f>
        <v>55.183</v>
      </c>
      <c r="H64" s="189">
        <f>H47+H21+H55+H62</f>
        <v>0</v>
      </c>
    </row>
    <row r="65" spans="1:11">
      <c r="B65" s="19"/>
      <c r="K65">
        <v>21600</v>
      </c>
    </row>
    <row r="66" spans="1:11">
      <c r="B66" s="677" t="s">
        <v>392</v>
      </c>
      <c r="C66" s="677"/>
      <c r="D66" s="677"/>
      <c r="E66" s="677"/>
      <c r="F66" s="677"/>
      <c r="G66" s="677"/>
      <c r="H66" s="677"/>
      <c r="K66" s="748">
        <f>+K63-K65</f>
        <v>28674</v>
      </c>
    </row>
    <row r="67" spans="1:11">
      <c r="B67" s="19"/>
      <c r="I67" s="19"/>
      <c r="J67" s="19"/>
      <c r="K67" s="20">
        <v>506826</v>
      </c>
    </row>
    <row r="68" spans="1:11">
      <c r="K68" s="748">
        <f>+K67+K66</f>
        <v>535500</v>
      </c>
    </row>
    <row r="69" spans="1:11">
      <c r="K69" s="748">
        <f>+K68+N63</f>
        <v>3510500</v>
      </c>
    </row>
    <row r="70" spans="1:11" ht="18.75">
      <c r="A70">
        <v>2.2999999999999998</v>
      </c>
      <c r="B70" s="676" t="s">
        <v>362</v>
      </c>
      <c r="C70" s="676"/>
      <c r="D70" s="676"/>
      <c r="E70" s="676"/>
      <c r="F70" s="676"/>
    </row>
    <row r="72" spans="1:11" ht="30">
      <c r="B72" s="22" t="s">
        <v>140</v>
      </c>
      <c r="C72" s="48" t="s">
        <v>125</v>
      </c>
      <c r="D72" s="48" t="s">
        <v>147</v>
      </c>
      <c r="E72" s="48" t="s">
        <v>148</v>
      </c>
      <c r="F72" s="48" t="s">
        <v>154</v>
      </c>
    </row>
    <row r="73" spans="1:11">
      <c r="B73" s="201">
        <v>1</v>
      </c>
      <c r="C73" s="224"/>
      <c r="D73" s="201"/>
      <c r="E73" s="202"/>
      <c r="F73" s="203">
        <f t="shared" ref="F73:F78" si="6">D73*E73</f>
        <v>0</v>
      </c>
    </row>
    <row r="74" spans="1:11">
      <c r="B74" s="201"/>
      <c r="C74" s="224"/>
      <c r="D74" s="201"/>
      <c r="E74" s="202"/>
      <c r="F74" s="203">
        <f t="shared" si="6"/>
        <v>0</v>
      </c>
    </row>
    <row r="75" spans="1:11">
      <c r="B75" s="201"/>
      <c r="C75" s="224"/>
      <c r="D75" s="201"/>
      <c r="E75" s="202"/>
      <c r="F75" s="203">
        <f t="shared" si="6"/>
        <v>0</v>
      </c>
    </row>
    <row r="76" spans="1:11">
      <c r="B76" s="201"/>
      <c r="C76" s="224"/>
      <c r="D76" s="201"/>
      <c r="E76" s="202"/>
      <c r="F76" s="203">
        <f t="shared" si="6"/>
        <v>0</v>
      </c>
    </row>
    <row r="77" spans="1:11">
      <c r="B77" s="201"/>
      <c r="C77" s="224"/>
      <c r="D77" s="201"/>
      <c r="E77" s="202"/>
      <c r="F77" s="203">
        <f t="shared" si="6"/>
        <v>0</v>
      </c>
    </row>
    <row r="78" spans="1:11">
      <c r="B78" s="201"/>
      <c r="C78" s="224"/>
      <c r="D78" s="201"/>
      <c r="E78" s="202"/>
      <c r="F78" s="203">
        <f t="shared" si="6"/>
        <v>0</v>
      </c>
    </row>
    <row r="79" spans="1:11">
      <c r="B79" s="685" t="s">
        <v>1</v>
      </c>
      <c r="C79" s="685"/>
      <c r="D79" s="685"/>
      <c r="E79" s="685"/>
      <c r="F79" s="21">
        <f>SUM(F73:F78)</f>
        <v>0</v>
      </c>
    </row>
    <row r="81" spans="1:7">
      <c r="A81" s="677" t="s">
        <v>393</v>
      </c>
      <c r="B81" s="677"/>
      <c r="C81" s="677"/>
      <c r="D81" s="677"/>
      <c r="E81" s="677"/>
      <c r="F81" s="677"/>
      <c r="G81" s="677"/>
    </row>
    <row r="84" spans="1:7" ht="18.75">
      <c r="A84">
        <v>2.4</v>
      </c>
      <c r="B84" s="676" t="s">
        <v>361</v>
      </c>
      <c r="C84" s="676"/>
      <c r="D84" s="676"/>
      <c r="E84" s="676"/>
      <c r="F84" s="676"/>
    </row>
    <row r="86" spans="1:7" ht="30">
      <c r="B86" s="22" t="s">
        <v>140</v>
      </c>
      <c r="C86" s="51" t="s">
        <v>125</v>
      </c>
      <c r="D86" s="51" t="s">
        <v>147</v>
      </c>
      <c r="E86" s="51" t="s">
        <v>148</v>
      </c>
      <c r="F86" s="51" t="s">
        <v>154</v>
      </c>
    </row>
    <row r="87" spans="1:7">
      <c r="B87" s="201">
        <v>1</v>
      </c>
      <c r="C87" s="224"/>
      <c r="D87" s="201"/>
      <c r="E87" s="202"/>
      <c r="F87" s="203">
        <f t="shared" ref="F87:F92" si="7">D87*E87</f>
        <v>0</v>
      </c>
    </row>
    <row r="88" spans="1:7">
      <c r="B88" s="201"/>
      <c r="C88" s="224"/>
      <c r="D88" s="201"/>
      <c r="E88" s="202"/>
      <c r="F88" s="203">
        <f t="shared" si="7"/>
        <v>0</v>
      </c>
    </row>
    <row r="89" spans="1:7">
      <c r="B89" s="201"/>
      <c r="C89" s="224"/>
      <c r="D89" s="201"/>
      <c r="E89" s="202"/>
      <c r="F89" s="203">
        <f t="shared" si="7"/>
        <v>0</v>
      </c>
    </row>
    <row r="90" spans="1:7">
      <c r="B90" s="201"/>
      <c r="C90" s="224"/>
      <c r="D90" s="201"/>
      <c r="E90" s="202"/>
      <c r="F90" s="203">
        <f t="shared" si="7"/>
        <v>0</v>
      </c>
    </row>
    <row r="91" spans="1:7">
      <c r="B91" s="201"/>
      <c r="C91" s="224"/>
      <c r="D91" s="201"/>
      <c r="E91" s="202"/>
      <c r="F91" s="203">
        <f t="shared" si="7"/>
        <v>0</v>
      </c>
    </row>
    <row r="92" spans="1:7">
      <c r="B92" s="201"/>
      <c r="C92" s="224"/>
      <c r="D92" s="201"/>
      <c r="E92" s="202"/>
      <c r="F92" s="203">
        <f t="shared" si="7"/>
        <v>0</v>
      </c>
    </row>
    <row r="93" spans="1:7">
      <c r="B93" s="685" t="s">
        <v>1</v>
      </c>
      <c r="C93" s="685"/>
      <c r="D93" s="685"/>
      <c r="E93" s="685"/>
      <c r="F93" s="21">
        <f>SUM(F87:F92)</f>
        <v>0</v>
      </c>
    </row>
    <row r="95" spans="1:7">
      <c r="A95" s="677" t="s">
        <v>393</v>
      </c>
      <c r="B95" s="677"/>
      <c r="C95" s="677"/>
      <c r="D95" s="677"/>
      <c r="E95" s="677"/>
      <c r="F95" s="677"/>
      <c r="G95" s="677"/>
    </row>
    <row r="98" spans="1:7" ht="18.75">
      <c r="A98">
        <v>2.5</v>
      </c>
      <c r="B98" s="676" t="s">
        <v>576</v>
      </c>
      <c r="C98" s="676"/>
      <c r="D98" s="676"/>
      <c r="E98" s="676"/>
      <c r="F98" s="676"/>
    </row>
    <row r="100" spans="1:7" ht="28.5">
      <c r="B100" s="176" t="s">
        <v>140</v>
      </c>
      <c r="C100" s="177" t="s">
        <v>125</v>
      </c>
      <c r="D100" s="177" t="s">
        <v>147</v>
      </c>
      <c r="E100" s="177" t="s">
        <v>148</v>
      </c>
      <c r="F100" s="177" t="s">
        <v>154</v>
      </c>
    </row>
    <row r="101" spans="1:7">
      <c r="B101" s="199">
        <v>1</v>
      </c>
      <c r="C101" s="200"/>
      <c r="D101" s="199"/>
      <c r="E101" s="204"/>
      <c r="F101" s="193">
        <f>E101*D101</f>
        <v>0</v>
      </c>
    </row>
    <row r="102" spans="1:7">
      <c r="B102" s="199"/>
      <c r="C102" s="200"/>
      <c r="D102" s="199"/>
      <c r="E102" s="204"/>
      <c r="F102" s="193">
        <f>E102*D102</f>
        <v>0</v>
      </c>
    </row>
    <row r="103" spans="1:7">
      <c r="B103" s="199"/>
      <c r="C103" s="200"/>
      <c r="D103" s="199"/>
      <c r="E103" s="204"/>
      <c r="F103" s="193">
        <f>E103*D103</f>
        <v>0</v>
      </c>
    </row>
    <row r="104" spans="1:7">
      <c r="B104" s="683" t="s">
        <v>1</v>
      </c>
      <c r="C104" s="683"/>
      <c r="D104" s="683"/>
      <c r="E104" s="683"/>
      <c r="F104" s="179">
        <f>SUM(F101:F103)</f>
        <v>0</v>
      </c>
    </row>
    <row r="105" spans="1:7">
      <c r="A105" s="684" t="s">
        <v>430</v>
      </c>
      <c r="B105" s="684"/>
      <c r="C105" s="684"/>
      <c r="D105" s="684"/>
      <c r="E105" s="684"/>
      <c r="F105" s="684"/>
      <c r="G105" s="684"/>
    </row>
    <row r="108" spans="1:7" ht="18.75">
      <c r="A108">
        <v>2.6</v>
      </c>
      <c r="B108" s="676" t="s">
        <v>246</v>
      </c>
      <c r="C108" s="676"/>
      <c r="D108" s="676"/>
    </row>
    <row r="109" spans="1:7" ht="15.75" thickBot="1"/>
    <row r="110" spans="1:7" ht="29.25" thickBot="1">
      <c r="B110" s="187" t="s">
        <v>140</v>
      </c>
      <c r="C110" s="188" t="s">
        <v>125</v>
      </c>
      <c r="D110" s="188" t="s">
        <v>360</v>
      </c>
    </row>
    <row r="111" spans="1:7" ht="15.75" thickBot="1">
      <c r="B111" s="225">
        <v>1</v>
      </c>
      <c r="C111" s="226" t="s">
        <v>715</v>
      </c>
      <c r="D111" s="383">
        <f>+(G64+G12)*5%</f>
        <v>8.9841499999999996</v>
      </c>
    </row>
    <row r="112" spans="1:7" ht="15.75" thickBot="1">
      <c r="B112" s="225">
        <v>2</v>
      </c>
      <c r="C112" s="226"/>
      <c r="D112" s="205"/>
    </row>
    <row r="113" spans="1:5" ht="15.75" thickBot="1">
      <c r="B113" s="225">
        <v>3</v>
      </c>
      <c r="C113" s="226"/>
      <c r="D113" s="205"/>
    </row>
    <row r="114" spans="1:5" ht="15.75" thickBot="1">
      <c r="B114" s="225"/>
      <c r="C114" s="226"/>
      <c r="D114" s="205"/>
    </row>
    <row r="115" spans="1:5" ht="15.75" thickBot="1">
      <c r="B115" s="225"/>
      <c r="C115" s="226"/>
      <c r="D115" s="205"/>
    </row>
    <row r="116" spans="1:5" ht="15.75" thickBot="1">
      <c r="B116" s="679" t="s">
        <v>1</v>
      </c>
      <c r="C116" s="680"/>
      <c r="D116" s="384">
        <f>SUM(D111:D115)</f>
        <v>8.9841499999999996</v>
      </c>
    </row>
    <row r="118" spans="1:5" ht="26.1" customHeight="1" thickBot="1">
      <c r="A118" s="681" t="s">
        <v>431</v>
      </c>
      <c r="B118" s="681"/>
      <c r="C118" s="681"/>
      <c r="D118" s="681"/>
      <c r="E118" s="681"/>
    </row>
    <row r="119" spans="1:5" ht="26.1" customHeight="1" thickBot="1">
      <c r="A119" s="316">
        <v>2.7</v>
      </c>
      <c r="B119" s="187" t="s">
        <v>140</v>
      </c>
      <c r="C119" s="188" t="s">
        <v>125</v>
      </c>
      <c r="D119" s="188" t="s">
        <v>360</v>
      </c>
      <c r="E119" s="316"/>
    </row>
    <row r="120" spans="1:5" ht="26.1" customHeight="1" thickBot="1">
      <c r="A120" s="316"/>
      <c r="B120" s="225">
        <v>1</v>
      </c>
      <c r="C120" s="226" t="s">
        <v>152</v>
      </c>
      <c r="D120" s="383">
        <f>+'1.Project Cost and MOF'!D11</f>
        <v>4.1989411111111075</v>
      </c>
      <c r="E120" s="316"/>
    </row>
    <row r="121" spans="1:5" ht="26.1" customHeight="1" thickBot="1">
      <c r="A121" s="316"/>
      <c r="B121" s="679" t="s">
        <v>1</v>
      </c>
      <c r="C121" s="680"/>
      <c r="D121" s="384">
        <f>+D120</f>
        <v>4.1989411111111075</v>
      </c>
      <c r="E121" s="316"/>
    </row>
    <row r="122" spans="1:5" ht="26.1" customHeight="1">
      <c r="A122" s="316"/>
      <c r="B122" s="316"/>
      <c r="C122" s="316"/>
      <c r="D122" s="316"/>
      <c r="E122" s="316"/>
    </row>
  </sheetData>
  <mergeCells count="23">
    <mergeCell ref="B12:F12"/>
    <mergeCell ref="B2:G2"/>
    <mergeCell ref="B15:G15"/>
    <mergeCell ref="B66:H66"/>
    <mergeCell ref="B64:F64"/>
    <mergeCell ref="B17:H17"/>
    <mergeCell ref="B32:C32"/>
    <mergeCell ref="B47:C47"/>
    <mergeCell ref="B55:C55"/>
    <mergeCell ref="B121:C121"/>
    <mergeCell ref="B116:C116"/>
    <mergeCell ref="A118:E118"/>
    <mergeCell ref="B62:C62"/>
    <mergeCell ref="A95:G95"/>
    <mergeCell ref="B104:E104"/>
    <mergeCell ref="B98:F98"/>
    <mergeCell ref="A105:G105"/>
    <mergeCell ref="B108:D108"/>
    <mergeCell ref="B79:E79"/>
    <mergeCell ref="B70:F70"/>
    <mergeCell ref="A81:G81"/>
    <mergeCell ref="B93:E93"/>
    <mergeCell ref="B84:F84"/>
  </mergeCells>
  <pageMargins left="0.7" right="0.7" top="0.75" bottom="0.75" header="0.3" footer="0.3"/>
  <pageSetup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12" zoomScale="80" zoomScaleSheetLayoutView="80" workbookViewId="0">
      <selection activeCell="D4" sqref="D4:D8"/>
    </sheetView>
  </sheetViews>
  <sheetFormatPr defaultRowHeight="15"/>
  <cols>
    <col min="2" max="2" width="15.42578125" customWidth="1"/>
    <col min="3" max="3" width="28.140625" customWidth="1"/>
    <col min="4" max="4" width="14.7109375" customWidth="1"/>
    <col min="5" max="5" width="25.85546875" bestFit="1" customWidth="1"/>
    <col min="6" max="6" width="12.140625" style="618" customWidth="1"/>
    <col min="7" max="7" width="27.28515625" bestFit="1" customWidth="1"/>
    <col min="8" max="8" width="12.28515625" bestFit="1" customWidth="1"/>
    <col min="9" max="9" width="11.7109375" bestFit="1" customWidth="1"/>
  </cols>
  <sheetData>
    <row r="2" spans="1:7" ht="18.75">
      <c r="A2" s="674" t="s">
        <v>500</v>
      </c>
      <c r="B2" s="674"/>
      <c r="C2" s="674"/>
      <c r="D2" s="674"/>
      <c r="E2" s="674"/>
      <c r="F2" s="674"/>
      <c r="G2" s="687"/>
    </row>
    <row r="3" spans="1:7">
      <c r="B3" s="15"/>
      <c r="C3" s="15"/>
      <c r="D3" s="15"/>
      <c r="E3" s="15"/>
      <c r="F3" s="627"/>
      <c r="G3" s="15"/>
    </row>
    <row r="4" spans="1:7">
      <c r="A4" s="79"/>
      <c r="B4" s="79"/>
      <c r="C4" s="79" t="s">
        <v>444</v>
      </c>
      <c r="D4" s="653">
        <f>'1.Project Cost and MOF'!E20</f>
        <v>37.733429999999998</v>
      </c>
      <c r="E4" s="79"/>
      <c r="F4" s="628"/>
      <c r="G4" s="79"/>
    </row>
    <row r="5" spans="1:7">
      <c r="A5" s="79"/>
      <c r="B5" s="79"/>
      <c r="C5" s="79" t="s">
        <v>445</v>
      </c>
      <c r="D5" s="644">
        <v>0.09</v>
      </c>
      <c r="E5" s="79"/>
      <c r="F5" s="628"/>
      <c r="G5" s="79"/>
    </row>
    <row r="6" spans="1:7">
      <c r="A6" s="79"/>
      <c r="B6" s="79"/>
      <c r="C6" s="79" t="s">
        <v>446</v>
      </c>
      <c r="D6" s="645">
        <v>3</v>
      </c>
      <c r="E6" s="79"/>
      <c r="F6" s="628"/>
      <c r="G6" s="79"/>
    </row>
    <row r="7" spans="1:7">
      <c r="A7" s="79"/>
      <c r="B7" s="79"/>
      <c r="C7" s="79" t="s">
        <v>447</v>
      </c>
      <c r="D7" s="645">
        <v>6</v>
      </c>
      <c r="E7" s="79"/>
      <c r="F7" s="628"/>
      <c r="G7" s="79"/>
    </row>
    <row r="8" spans="1:7">
      <c r="A8" s="79"/>
      <c r="B8" s="79"/>
      <c r="C8" s="79" t="s">
        <v>21</v>
      </c>
      <c r="D8" s="646">
        <f>PMT(D5/12,(D6-(D7/12))*12,-D4)</f>
        <v>1.4092742095088715</v>
      </c>
      <c r="E8" s="173"/>
      <c r="F8" s="628"/>
      <c r="G8" s="79"/>
    </row>
    <row r="9" spans="1:7">
      <c r="A9" s="122" t="s">
        <v>280</v>
      </c>
      <c r="B9" s="174" t="s">
        <v>17</v>
      </c>
      <c r="C9" s="175" t="s">
        <v>18</v>
      </c>
      <c r="D9" s="175" t="s">
        <v>19</v>
      </c>
      <c r="E9" s="175" t="s">
        <v>20</v>
      </c>
      <c r="F9" s="629" t="s">
        <v>21</v>
      </c>
      <c r="G9" s="175" t="s">
        <v>22</v>
      </c>
    </row>
    <row r="10" spans="1:7">
      <c r="A10" s="80" t="s">
        <v>10</v>
      </c>
      <c r="B10" s="80" t="s">
        <v>49</v>
      </c>
      <c r="C10" s="81">
        <f>D4</f>
        <v>37.733429999999998</v>
      </c>
      <c r="D10" s="360">
        <f t="shared" ref="D10:D41" si="0">C10*$D$5/12</f>
        <v>0.28300072500000001</v>
      </c>
      <c r="E10" s="81">
        <f t="shared" ref="E10:E15" si="1">F10-D10</f>
        <v>0</v>
      </c>
      <c r="F10" s="624">
        <f>D10</f>
        <v>0.28300072500000001</v>
      </c>
      <c r="G10" s="624">
        <f>C10-E10</f>
        <v>37.733429999999998</v>
      </c>
    </row>
    <row r="11" spans="1:7">
      <c r="A11" s="80"/>
      <c r="B11" s="80" t="s">
        <v>50</v>
      </c>
      <c r="C11" s="81">
        <f>G10</f>
        <v>37.733429999999998</v>
      </c>
      <c r="D11" s="360">
        <f t="shared" si="0"/>
        <v>0.28300072500000001</v>
      </c>
      <c r="E11" s="81">
        <f t="shared" si="1"/>
        <v>0</v>
      </c>
      <c r="F11" s="624">
        <f t="shared" ref="F11:F15" si="2">D11</f>
        <v>0.28300072500000001</v>
      </c>
      <c r="G11" s="624">
        <f t="shared" ref="G11:G45" si="3">C11-E11</f>
        <v>37.733429999999998</v>
      </c>
    </row>
    <row r="12" spans="1:7">
      <c r="A12" s="80"/>
      <c r="B12" s="80" t="s">
        <v>51</v>
      </c>
      <c r="C12" s="81">
        <f t="shared" ref="C12:C45" si="4">G11</f>
        <v>37.733429999999998</v>
      </c>
      <c r="D12" s="360">
        <f t="shared" si="0"/>
        <v>0.28300072500000001</v>
      </c>
      <c r="E12" s="81">
        <f t="shared" si="1"/>
        <v>0</v>
      </c>
      <c r="F12" s="624">
        <f t="shared" si="2"/>
        <v>0.28300072500000001</v>
      </c>
      <c r="G12" s="624">
        <f t="shared" si="3"/>
        <v>37.733429999999998</v>
      </c>
    </row>
    <row r="13" spans="1:7">
      <c r="A13" s="80"/>
      <c r="B13" s="80" t="s">
        <v>52</v>
      </c>
      <c r="C13" s="81">
        <f t="shared" si="4"/>
        <v>37.733429999999998</v>
      </c>
      <c r="D13" s="360">
        <f t="shared" si="0"/>
        <v>0.28300072500000001</v>
      </c>
      <c r="E13" s="81">
        <f t="shared" si="1"/>
        <v>0</v>
      </c>
      <c r="F13" s="624">
        <f t="shared" si="2"/>
        <v>0.28300072500000001</v>
      </c>
      <c r="G13" s="624">
        <f t="shared" si="3"/>
        <v>37.733429999999998</v>
      </c>
    </row>
    <row r="14" spans="1:7">
      <c r="A14" s="80"/>
      <c r="B14" s="80" t="s">
        <v>53</v>
      </c>
      <c r="C14" s="81">
        <f t="shared" si="4"/>
        <v>37.733429999999998</v>
      </c>
      <c r="D14" s="360">
        <f t="shared" si="0"/>
        <v>0.28300072500000001</v>
      </c>
      <c r="E14" s="81">
        <f t="shared" si="1"/>
        <v>0</v>
      </c>
      <c r="F14" s="624">
        <f t="shared" si="2"/>
        <v>0.28300072500000001</v>
      </c>
      <c r="G14" s="624">
        <f t="shared" si="3"/>
        <v>37.733429999999998</v>
      </c>
    </row>
    <row r="15" spans="1:7">
      <c r="A15" s="80"/>
      <c r="B15" s="80" t="s">
        <v>54</v>
      </c>
      <c r="C15" s="81">
        <f t="shared" si="4"/>
        <v>37.733429999999998</v>
      </c>
      <c r="D15" s="360">
        <f t="shared" si="0"/>
        <v>0.28300072500000001</v>
      </c>
      <c r="E15" s="81">
        <f t="shared" si="1"/>
        <v>0</v>
      </c>
      <c r="F15" s="624">
        <f t="shared" si="2"/>
        <v>0.28300072500000001</v>
      </c>
      <c r="G15" s="624">
        <f t="shared" si="3"/>
        <v>37.733429999999998</v>
      </c>
    </row>
    <row r="16" spans="1:7">
      <c r="A16" s="80"/>
      <c r="B16" s="80" t="s">
        <v>55</v>
      </c>
      <c r="C16" s="81">
        <f t="shared" si="4"/>
        <v>37.733429999999998</v>
      </c>
      <c r="D16" s="360">
        <f t="shared" si="0"/>
        <v>0.28300072500000001</v>
      </c>
      <c r="E16" s="624">
        <f>F16-D16</f>
        <v>1.1262734845088715</v>
      </c>
      <c r="F16" s="624">
        <f t="shared" ref="F16:F45" si="5">$D$8</f>
        <v>1.4092742095088715</v>
      </c>
      <c r="G16" s="624">
        <f t="shared" si="3"/>
        <v>36.607156515491127</v>
      </c>
    </row>
    <row r="17" spans="1:9">
      <c r="A17" s="80"/>
      <c r="B17" s="80" t="s">
        <v>56</v>
      </c>
      <c r="C17" s="81">
        <f t="shared" si="4"/>
        <v>36.607156515491127</v>
      </c>
      <c r="D17" s="360">
        <f t="shared" si="0"/>
        <v>0.27455367386618346</v>
      </c>
      <c r="E17" s="624">
        <f t="shared" ref="E17:E45" si="6">F17-D17</f>
        <v>1.1347205356426882</v>
      </c>
      <c r="F17" s="624">
        <f t="shared" si="5"/>
        <v>1.4092742095088715</v>
      </c>
      <c r="G17" s="624">
        <f t="shared" si="3"/>
        <v>35.472435979848441</v>
      </c>
    </row>
    <row r="18" spans="1:9">
      <c r="A18" s="80"/>
      <c r="B18" s="80" t="s">
        <v>57</v>
      </c>
      <c r="C18" s="81">
        <f t="shared" si="4"/>
        <v>35.472435979848441</v>
      </c>
      <c r="D18" s="360">
        <f t="shared" si="0"/>
        <v>0.26604326984886328</v>
      </c>
      <c r="E18" s="624">
        <f t="shared" si="6"/>
        <v>1.1432309396600082</v>
      </c>
      <c r="F18" s="624">
        <f t="shared" si="5"/>
        <v>1.4092742095088715</v>
      </c>
      <c r="G18" s="624">
        <f t="shared" si="3"/>
        <v>34.329205040188434</v>
      </c>
    </row>
    <row r="19" spans="1:9">
      <c r="A19" s="80"/>
      <c r="B19" s="80" t="s">
        <v>58</v>
      </c>
      <c r="C19" s="81">
        <f t="shared" si="4"/>
        <v>34.329205040188434</v>
      </c>
      <c r="D19" s="360">
        <f t="shared" si="0"/>
        <v>0.25746903780141323</v>
      </c>
      <c r="E19" s="624">
        <f t="shared" si="6"/>
        <v>1.1518051717074582</v>
      </c>
      <c r="F19" s="624">
        <f t="shared" si="5"/>
        <v>1.4092742095088715</v>
      </c>
      <c r="G19" s="624">
        <f t="shared" si="3"/>
        <v>33.177399868480975</v>
      </c>
    </row>
    <row r="20" spans="1:9">
      <c r="A20" s="80"/>
      <c r="B20" s="80" t="s">
        <v>59</v>
      </c>
      <c r="C20" s="81">
        <f t="shared" si="4"/>
        <v>33.177399868480975</v>
      </c>
      <c r="D20" s="360">
        <f t="shared" si="0"/>
        <v>0.24883049901360732</v>
      </c>
      <c r="E20" s="624">
        <f t="shared" si="6"/>
        <v>1.1604437104952643</v>
      </c>
      <c r="F20" s="624">
        <f t="shared" si="5"/>
        <v>1.4092742095088715</v>
      </c>
      <c r="G20" s="624">
        <f t="shared" si="3"/>
        <v>32.01695615798571</v>
      </c>
    </row>
    <row r="21" spans="1:9">
      <c r="A21" s="80"/>
      <c r="B21" s="80" t="s">
        <v>60</v>
      </c>
      <c r="C21" s="81">
        <f t="shared" si="4"/>
        <v>32.01695615798571</v>
      </c>
      <c r="D21" s="360">
        <f t="shared" si="0"/>
        <v>0.24012717118489282</v>
      </c>
      <c r="E21" s="624">
        <f t="shared" si="6"/>
        <v>1.1691470383239786</v>
      </c>
      <c r="F21" s="624">
        <f t="shared" si="5"/>
        <v>1.4092742095088715</v>
      </c>
      <c r="G21" s="624">
        <f t="shared" si="3"/>
        <v>30.847809119661733</v>
      </c>
      <c r="H21" s="1"/>
      <c r="I21" s="1"/>
    </row>
    <row r="22" spans="1:9">
      <c r="A22" s="80" t="s">
        <v>11</v>
      </c>
      <c r="B22" s="80" t="s">
        <v>61</v>
      </c>
      <c r="C22" s="81">
        <f t="shared" si="4"/>
        <v>30.847809119661733</v>
      </c>
      <c r="D22" s="360">
        <f t="shared" si="0"/>
        <v>0.23135856839746297</v>
      </c>
      <c r="E22" s="624">
        <f t="shared" si="6"/>
        <v>1.1779156411114085</v>
      </c>
      <c r="F22" s="624">
        <f t="shared" si="5"/>
        <v>1.4092742095088715</v>
      </c>
      <c r="G22" s="624">
        <f t="shared" si="3"/>
        <v>29.669893478550325</v>
      </c>
    </row>
    <row r="23" spans="1:9">
      <c r="A23" s="80"/>
      <c r="B23" s="80" t="s">
        <v>62</v>
      </c>
      <c r="C23" s="81">
        <f t="shared" si="4"/>
        <v>29.669893478550325</v>
      </c>
      <c r="D23" s="360">
        <f t="shared" si="0"/>
        <v>0.22252420108912743</v>
      </c>
      <c r="E23" s="624">
        <f t="shared" si="6"/>
        <v>1.186750008419744</v>
      </c>
      <c r="F23" s="624">
        <f t="shared" si="5"/>
        <v>1.4092742095088715</v>
      </c>
      <c r="G23" s="624">
        <f t="shared" si="3"/>
        <v>28.483143470130582</v>
      </c>
    </row>
    <row r="24" spans="1:9">
      <c r="A24" s="80"/>
      <c r="B24" s="80" t="s">
        <v>63</v>
      </c>
      <c r="C24" s="81">
        <f t="shared" si="4"/>
        <v>28.483143470130582</v>
      </c>
      <c r="D24" s="360">
        <f t="shared" si="0"/>
        <v>0.21362357602597937</v>
      </c>
      <c r="E24" s="624">
        <f t="shared" si="6"/>
        <v>1.195650633482892</v>
      </c>
      <c r="F24" s="624">
        <f t="shared" si="5"/>
        <v>1.4092742095088715</v>
      </c>
      <c r="G24" s="624">
        <f t="shared" si="3"/>
        <v>27.28749283664769</v>
      </c>
    </row>
    <row r="25" spans="1:9">
      <c r="A25" s="80"/>
      <c r="B25" s="80" t="s">
        <v>64</v>
      </c>
      <c r="C25" s="81">
        <f t="shared" si="4"/>
        <v>27.28749283664769</v>
      </c>
      <c r="D25" s="360">
        <f t="shared" si="0"/>
        <v>0.20465619627485768</v>
      </c>
      <c r="E25" s="624">
        <f t="shared" si="6"/>
        <v>1.2046180132340139</v>
      </c>
      <c r="F25" s="624">
        <f t="shared" si="5"/>
        <v>1.4092742095088715</v>
      </c>
      <c r="G25" s="624">
        <f t="shared" si="3"/>
        <v>26.082874823413675</v>
      </c>
    </row>
    <row r="26" spans="1:9">
      <c r="A26" s="80"/>
      <c r="B26" s="80" t="s">
        <v>65</v>
      </c>
      <c r="C26" s="81">
        <f t="shared" si="4"/>
        <v>26.082874823413675</v>
      </c>
      <c r="D26" s="360">
        <f t="shared" si="0"/>
        <v>0.19562156117560256</v>
      </c>
      <c r="E26" s="624">
        <f t="shared" si="6"/>
        <v>1.213652648333269</v>
      </c>
      <c r="F26" s="624">
        <f t="shared" si="5"/>
        <v>1.4092742095088715</v>
      </c>
      <c r="G26" s="624">
        <f t="shared" si="3"/>
        <v>24.869222175080406</v>
      </c>
    </row>
    <row r="27" spans="1:9">
      <c r="A27" s="80"/>
      <c r="B27" s="80" t="s">
        <v>66</v>
      </c>
      <c r="C27" s="81">
        <f t="shared" si="4"/>
        <v>24.869222175080406</v>
      </c>
      <c r="D27" s="360">
        <f t="shared" si="0"/>
        <v>0.18651916631310303</v>
      </c>
      <c r="E27" s="624">
        <f t="shared" si="6"/>
        <v>1.2227550431957686</v>
      </c>
      <c r="F27" s="624">
        <f t="shared" si="5"/>
        <v>1.4092742095088715</v>
      </c>
      <c r="G27" s="624">
        <f t="shared" si="3"/>
        <v>23.646467131884638</v>
      </c>
    </row>
    <row r="28" spans="1:9">
      <c r="A28" s="80"/>
      <c r="B28" s="80" t="s">
        <v>67</v>
      </c>
      <c r="C28" s="81">
        <f t="shared" si="4"/>
        <v>23.646467131884638</v>
      </c>
      <c r="D28" s="360">
        <f t="shared" si="0"/>
        <v>0.17734850348913478</v>
      </c>
      <c r="E28" s="624">
        <f t="shared" si="6"/>
        <v>1.2319257060197368</v>
      </c>
      <c r="F28" s="624">
        <f t="shared" si="5"/>
        <v>1.4092742095088715</v>
      </c>
      <c r="G28" s="624">
        <f t="shared" si="3"/>
        <v>22.414541425864901</v>
      </c>
    </row>
    <row r="29" spans="1:9">
      <c r="A29" s="80"/>
      <c r="B29" s="80" t="s">
        <v>68</v>
      </c>
      <c r="C29" s="81">
        <f t="shared" si="4"/>
        <v>22.414541425864901</v>
      </c>
      <c r="D29" s="360">
        <f t="shared" si="0"/>
        <v>0.16810906069398676</v>
      </c>
      <c r="E29" s="624">
        <f t="shared" si="6"/>
        <v>1.2411651488148847</v>
      </c>
      <c r="F29" s="624">
        <f t="shared" si="5"/>
        <v>1.4092742095088715</v>
      </c>
      <c r="G29" s="624">
        <f t="shared" si="3"/>
        <v>21.173376277050014</v>
      </c>
    </row>
    <row r="30" spans="1:9">
      <c r="A30" s="80"/>
      <c r="B30" s="80" t="s">
        <v>69</v>
      </c>
      <c r="C30" s="81">
        <f t="shared" si="4"/>
        <v>21.173376277050014</v>
      </c>
      <c r="D30" s="360">
        <f t="shared" si="0"/>
        <v>0.15880032207787512</v>
      </c>
      <c r="E30" s="624">
        <f t="shared" si="6"/>
        <v>1.2504738874309964</v>
      </c>
      <c r="F30" s="624">
        <f t="shared" si="5"/>
        <v>1.4092742095088715</v>
      </c>
      <c r="G30" s="624">
        <f t="shared" si="3"/>
        <v>19.922902389619018</v>
      </c>
    </row>
    <row r="31" spans="1:9">
      <c r="A31" s="80"/>
      <c r="B31" s="80" t="s">
        <v>70</v>
      </c>
      <c r="C31" s="81">
        <f t="shared" si="4"/>
        <v>19.922902389619018</v>
      </c>
      <c r="D31" s="360">
        <f t="shared" si="0"/>
        <v>0.14942176792214265</v>
      </c>
      <c r="E31" s="624">
        <f t="shared" si="6"/>
        <v>1.2598524415867289</v>
      </c>
      <c r="F31" s="624">
        <f t="shared" si="5"/>
        <v>1.4092742095088715</v>
      </c>
      <c r="G31" s="624">
        <f t="shared" si="3"/>
        <v>18.663049948032288</v>
      </c>
    </row>
    <row r="32" spans="1:9">
      <c r="A32" s="80"/>
      <c r="B32" s="80" t="s">
        <v>71</v>
      </c>
      <c r="C32" s="81">
        <f t="shared" si="4"/>
        <v>18.663049948032288</v>
      </c>
      <c r="D32" s="360">
        <f t="shared" si="0"/>
        <v>0.13997287461024216</v>
      </c>
      <c r="E32" s="624">
        <f t="shared" si="6"/>
        <v>1.2693013348986293</v>
      </c>
      <c r="F32" s="624">
        <f t="shared" si="5"/>
        <v>1.4092742095088715</v>
      </c>
      <c r="G32" s="624">
        <f t="shared" si="3"/>
        <v>17.39374861313366</v>
      </c>
    </row>
    <row r="33" spans="1:9">
      <c r="A33" s="80"/>
      <c r="B33" s="80" t="s">
        <v>72</v>
      </c>
      <c r="C33" s="81">
        <f t="shared" si="4"/>
        <v>17.39374861313366</v>
      </c>
      <c r="D33" s="360">
        <f t="shared" si="0"/>
        <v>0.13045311459850245</v>
      </c>
      <c r="E33" s="624">
        <f t="shared" si="6"/>
        <v>1.2788210949103691</v>
      </c>
      <c r="F33" s="624">
        <f t="shared" si="5"/>
        <v>1.4092742095088715</v>
      </c>
      <c r="G33" s="624">
        <f t="shared" si="3"/>
        <v>16.11492751822329</v>
      </c>
      <c r="H33" s="1"/>
      <c r="I33" s="1"/>
    </row>
    <row r="34" spans="1:9">
      <c r="A34" s="80" t="s">
        <v>12</v>
      </c>
      <c r="B34" s="80" t="s">
        <v>73</v>
      </c>
      <c r="C34" s="81">
        <f t="shared" si="4"/>
        <v>16.11492751822329</v>
      </c>
      <c r="D34" s="360">
        <f t="shared" si="0"/>
        <v>0.12086195638667467</v>
      </c>
      <c r="E34" s="624">
        <f t="shared" si="6"/>
        <v>1.2884122531221969</v>
      </c>
      <c r="F34" s="624">
        <f t="shared" si="5"/>
        <v>1.4092742095088715</v>
      </c>
      <c r="G34" s="624">
        <f t="shared" si="3"/>
        <v>14.826515265101094</v>
      </c>
    </row>
    <row r="35" spans="1:9">
      <c r="A35" s="80"/>
      <c r="B35" s="80" t="s">
        <v>74</v>
      </c>
      <c r="C35" s="81">
        <f t="shared" si="4"/>
        <v>14.826515265101094</v>
      </c>
      <c r="D35" s="360">
        <f t="shared" si="0"/>
        <v>0.11119886448825821</v>
      </c>
      <c r="E35" s="624">
        <f t="shared" si="6"/>
        <v>1.2980753450206133</v>
      </c>
      <c r="F35" s="624">
        <f t="shared" si="5"/>
        <v>1.4092742095088715</v>
      </c>
      <c r="G35" s="624">
        <f t="shared" si="3"/>
        <v>13.52843992008048</v>
      </c>
    </row>
    <row r="36" spans="1:9">
      <c r="A36" s="80"/>
      <c r="B36" s="80" t="s">
        <v>75</v>
      </c>
      <c r="C36" s="81">
        <f t="shared" si="4"/>
        <v>13.52843992008048</v>
      </c>
      <c r="D36" s="360">
        <f t="shared" si="0"/>
        <v>0.1014632994006036</v>
      </c>
      <c r="E36" s="624">
        <f t="shared" si="6"/>
        <v>1.307810910108268</v>
      </c>
      <c r="F36" s="624">
        <f t="shared" si="5"/>
        <v>1.4092742095088715</v>
      </c>
      <c r="G36" s="624">
        <f t="shared" si="3"/>
        <v>12.220629009972212</v>
      </c>
    </row>
    <row r="37" spans="1:9">
      <c r="A37" s="80"/>
      <c r="B37" s="80" t="s">
        <v>76</v>
      </c>
      <c r="C37" s="81">
        <f t="shared" si="4"/>
        <v>12.220629009972212</v>
      </c>
      <c r="D37" s="360">
        <f t="shared" si="0"/>
        <v>9.1654717574791586E-2</v>
      </c>
      <c r="E37" s="624">
        <f t="shared" si="6"/>
        <v>1.31761949193408</v>
      </c>
      <c r="F37" s="624">
        <f t="shared" si="5"/>
        <v>1.4092742095088715</v>
      </c>
      <c r="G37" s="624">
        <f t="shared" si="3"/>
        <v>10.903009518038132</v>
      </c>
    </row>
    <row r="38" spans="1:9">
      <c r="A38" s="80"/>
      <c r="B38" s="80" t="s">
        <v>77</v>
      </c>
      <c r="C38" s="81">
        <f t="shared" si="4"/>
        <v>10.903009518038132</v>
      </c>
      <c r="D38" s="360">
        <f t="shared" si="0"/>
        <v>8.1772571385285986E-2</v>
      </c>
      <c r="E38" s="624">
        <f t="shared" si="6"/>
        <v>1.3275016381235856</v>
      </c>
      <c r="F38" s="624">
        <f t="shared" si="5"/>
        <v>1.4092742095088715</v>
      </c>
      <c r="G38" s="624">
        <f t="shared" si="3"/>
        <v>9.5755078799145465</v>
      </c>
    </row>
    <row r="39" spans="1:9">
      <c r="A39" s="80"/>
      <c r="B39" s="80" t="s">
        <v>78</v>
      </c>
      <c r="C39" s="81">
        <f t="shared" si="4"/>
        <v>9.5755078799145465</v>
      </c>
      <c r="D39" s="360">
        <f t="shared" si="0"/>
        <v>7.1816309099359099E-2</v>
      </c>
      <c r="E39" s="624">
        <f t="shared" si="6"/>
        <v>1.3374579004095124</v>
      </c>
      <c r="F39" s="624">
        <f t="shared" si="5"/>
        <v>1.4092742095088715</v>
      </c>
      <c r="G39" s="624">
        <f t="shared" si="3"/>
        <v>8.2380499795050337</v>
      </c>
    </row>
    <row r="40" spans="1:9">
      <c r="A40" s="80"/>
      <c r="B40" s="80" t="s">
        <v>79</v>
      </c>
      <c r="C40" s="81">
        <f t="shared" si="4"/>
        <v>8.2380499795050337</v>
      </c>
      <c r="D40" s="360">
        <f t="shared" si="0"/>
        <v>6.1785374846287745E-2</v>
      </c>
      <c r="E40" s="624">
        <f t="shared" si="6"/>
        <v>1.3474888346625837</v>
      </c>
      <c r="F40" s="624">
        <f t="shared" si="5"/>
        <v>1.4092742095088715</v>
      </c>
      <c r="G40" s="624">
        <f t="shared" si="3"/>
        <v>6.89056114484245</v>
      </c>
    </row>
    <row r="41" spans="1:9">
      <c r="A41" s="80"/>
      <c r="B41" s="80" t="s">
        <v>80</v>
      </c>
      <c r="C41" s="81">
        <f t="shared" si="4"/>
        <v>6.89056114484245</v>
      </c>
      <c r="D41" s="360">
        <f t="shared" si="0"/>
        <v>5.1679208586318366E-2</v>
      </c>
      <c r="E41" s="624">
        <f t="shared" si="6"/>
        <v>1.357595000922553</v>
      </c>
      <c r="F41" s="624">
        <f t="shared" si="5"/>
        <v>1.4092742095088715</v>
      </c>
      <c r="G41" s="624">
        <f t="shared" si="3"/>
        <v>5.5329661439198965</v>
      </c>
    </row>
    <row r="42" spans="1:9">
      <c r="A42" s="80"/>
      <c r="B42" s="80" t="s">
        <v>81</v>
      </c>
      <c r="C42" s="81">
        <f t="shared" si="4"/>
        <v>5.5329661439198965</v>
      </c>
      <c r="D42" s="360">
        <f t="shared" ref="D42:D45" si="7">C42*$D$5/12</f>
        <v>4.1497246079399218E-2</v>
      </c>
      <c r="E42" s="624">
        <f t="shared" si="6"/>
        <v>1.3677769634294723</v>
      </c>
      <c r="F42" s="624">
        <f t="shared" si="5"/>
        <v>1.4092742095088715</v>
      </c>
      <c r="G42" s="624">
        <f t="shared" si="3"/>
        <v>4.1651891804904242</v>
      </c>
    </row>
    <row r="43" spans="1:9">
      <c r="A43" s="80"/>
      <c r="B43" s="80" t="s">
        <v>82</v>
      </c>
      <c r="C43" s="81">
        <f t="shared" si="4"/>
        <v>4.1651891804904242</v>
      </c>
      <c r="D43" s="360">
        <f t="shared" si="7"/>
        <v>3.1238918853678178E-2</v>
      </c>
      <c r="E43" s="624">
        <f t="shared" si="6"/>
        <v>1.3780352906551934</v>
      </c>
      <c r="F43" s="624">
        <f t="shared" si="5"/>
        <v>1.4092742095088715</v>
      </c>
      <c r="G43" s="624">
        <f t="shared" si="3"/>
        <v>2.7871538898352308</v>
      </c>
    </row>
    <row r="44" spans="1:9">
      <c r="A44" s="80"/>
      <c r="B44" s="80" t="s">
        <v>83</v>
      </c>
      <c r="C44" s="81">
        <f t="shared" si="4"/>
        <v>2.7871538898352308</v>
      </c>
      <c r="D44" s="360">
        <f t="shared" si="7"/>
        <v>2.0903654173764229E-2</v>
      </c>
      <c r="E44" s="624">
        <f t="shared" si="6"/>
        <v>1.3883705553351073</v>
      </c>
      <c r="F44" s="624">
        <f t="shared" si="5"/>
        <v>1.4092742095088715</v>
      </c>
      <c r="G44" s="624">
        <f t="shared" si="3"/>
        <v>1.3987833345001235</v>
      </c>
    </row>
    <row r="45" spans="1:9">
      <c r="A45" s="80"/>
      <c r="B45" s="80" t="s">
        <v>84</v>
      </c>
      <c r="C45" s="81">
        <f t="shared" si="4"/>
        <v>1.3987833345001235</v>
      </c>
      <c r="D45" s="360">
        <f t="shared" si="7"/>
        <v>1.0490875008750926E-2</v>
      </c>
      <c r="E45" s="624">
        <f t="shared" si="6"/>
        <v>1.3987833345001206</v>
      </c>
      <c r="F45" s="624">
        <f t="shared" si="5"/>
        <v>1.4092742095088715</v>
      </c>
      <c r="G45" s="624">
        <f t="shared" si="3"/>
        <v>2.886579864025407E-15</v>
      </c>
      <c r="H45" s="1"/>
      <c r="I45" s="1"/>
    </row>
    <row r="46" spans="1:9">
      <c r="A46" s="80" t="s">
        <v>13</v>
      </c>
      <c r="B46" s="80" t="s">
        <v>85</v>
      </c>
      <c r="C46" s="81">
        <v>1.9984014443252818E-15</v>
      </c>
      <c r="D46" s="81">
        <v>1.9984014443252818E-15</v>
      </c>
      <c r="E46" s="81">
        <v>1.9984014443252818E-15</v>
      </c>
      <c r="F46" s="81">
        <v>1.9984014443252818E-15</v>
      </c>
      <c r="G46" s="81">
        <v>1.9984014443252818E-15</v>
      </c>
    </row>
    <row r="47" spans="1:9">
      <c r="A47" s="80"/>
      <c r="B47" s="80" t="s">
        <v>86</v>
      </c>
      <c r="C47" s="81">
        <v>1.9984014443252818E-15</v>
      </c>
      <c r="D47" s="81">
        <v>1.9984014443252818E-15</v>
      </c>
      <c r="E47" s="81">
        <v>1.9984014443252818E-15</v>
      </c>
      <c r="F47" s="81">
        <v>1.9984014443252818E-15</v>
      </c>
      <c r="G47" s="81">
        <v>1.9984014443252818E-15</v>
      </c>
    </row>
    <row r="48" spans="1:9">
      <c r="A48" s="80"/>
      <c r="B48" s="80" t="s">
        <v>87</v>
      </c>
      <c r="C48" s="81">
        <v>1.9984014443252818E-15</v>
      </c>
      <c r="D48" s="81">
        <v>1.9984014443252818E-15</v>
      </c>
      <c r="E48" s="81">
        <v>1.9984014443252818E-15</v>
      </c>
      <c r="F48" s="81">
        <v>1.9984014443252818E-15</v>
      </c>
      <c r="G48" s="81">
        <v>1.9984014443252818E-15</v>
      </c>
    </row>
    <row r="49" spans="1:9">
      <c r="A49" s="80"/>
      <c r="B49" s="80" t="s">
        <v>88</v>
      </c>
      <c r="C49" s="81">
        <v>1.9984014443252818E-15</v>
      </c>
      <c r="D49" s="81">
        <v>1.9984014443252818E-15</v>
      </c>
      <c r="E49" s="81">
        <v>1.9984014443252818E-15</v>
      </c>
      <c r="F49" s="81">
        <v>1.9984014443252818E-15</v>
      </c>
      <c r="G49" s="81">
        <v>1.9984014443252818E-15</v>
      </c>
    </row>
    <row r="50" spans="1:9">
      <c r="A50" s="80"/>
      <c r="B50" s="80" t="s">
        <v>89</v>
      </c>
      <c r="C50" s="81">
        <v>1.9984014443252818E-15</v>
      </c>
      <c r="D50" s="81">
        <v>1.9984014443252818E-15</v>
      </c>
      <c r="E50" s="81">
        <v>1.9984014443252818E-15</v>
      </c>
      <c r="F50" s="81">
        <v>1.9984014443252818E-15</v>
      </c>
      <c r="G50" s="81">
        <v>1.9984014443252818E-15</v>
      </c>
    </row>
    <row r="51" spans="1:9">
      <c r="A51" s="80"/>
      <c r="B51" s="80" t="s">
        <v>90</v>
      </c>
      <c r="C51" s="81">
        <v>1.9984014443252818E-15</v>
      </c>
      <c r="D51" s="81">
        <v>1.9984014443252818E-15</v>
      </c>
      <c r="E51" s="81">
        <v>1.9984014443252818E-15</v>
      </c>
      <c r="F51" s="81">
        <v>1.9984014443252818E-15</v>
      </c>
      <c r="G51" s="81">
        <v>1.9984014443252818E-15</v>
      </c>
    </row>
    <row r="52" spans="1:9">
      <c r="A52" s="80"/>
      <c r="B52" s="80" t="s">
        <v>91</v>
      </c>
      <c r="C52" s="81">
        <v>1.9984014443252818E-15</v>
      </c>
      <c r="D52" s="81">
        <v>1.9984014443252818E-15</v>
      </c>
      <c r="E52" s="81">
        <v>1.9984014443252818E-15</v>
      </c>
      <c r="F52" s="81">
        <v>1.9984014443252818E-15</v>
      </c>
      <c r="G52" s="81">
        <v>1.9984014443252818E-15</v>
      </c>
    </row>
    <row r="53" spans="1:9">
      <c r="A53" s="80"/>
      <c r="B53" s="80" t="s">
        <v>92</v>
      </c>
      <c r="C53" s="81">
        <v>1.9984014443252818E-15</v>
      </c>
      <c r="D53" s="81">
        <v>1.9984014443252818E-15</v>
      </c>
      <c r="E53" s="81">
        <v>1.9984014443252818E-15</v>
      </c>
      <c r="F53" s="81">
        <v>1.9984014443252818E-15</v>
      </c>
      <c r="G53" s="81">
        <v>1.9984014443252818E-15</v>
      </c>
    </row>
    <row r="54" spans="1:9">
      <c r="A54" s="80"/>
      <c r="B54" s="80" t="s">
        <v>93</v>
      </c>
      <c r="C54" s="81">
        <v>1.9984014443252818E-15</v>
      </c>
      <c r="D54" s="81">
        <v>1.9984014443252818E-15</v>
      </c>
      <c r="E54" s="81">
        <v>1.9984014443252818E-15</v>
      </c>
      <c r="F54" s="81">
        <v>1.9984014443252818E-15</v>
      </c>
      <c r="G54" s="81">
        <v>1.9984014443252818E-15</v>
      </c>
    </row>
    <row r="55" spans="1:9">
      <c r="A55" s="80"/>
      <c r="B55" s="80" t="s">
        <v>94</v>
      </c>
      <c r="C55" s="81">
        <v>1.9984014443252818E-15</v>
      </c>
      <c r="D55" s="81">
        <v>1.9984014443252818E-15</v>
      </c>
      <c r="E55" s="81">
        <v>1.9984014443252818E-15</v>
      </c>
      <c r="F55" s="81">
        <v>1.9984014443252818E-15</v>
      </c>
      <c r="G55" s="81">
        <v>1.9984014443252818E-15</v>
      </c>
    </row>
    <row r="56" spans="1:9">
      <c r="A56" s="80"/>
      <c r="B56" s="80" t="s">
        <v>95</v>
      </c>
      <c r="C56" s="81">
        <v>1.9984014443252818E-15</v>
      </c>
      <c r="D56" s="81">
        <v>1.9984014443252818E-15</v>
      </c>
      <c r="E56" s="81">
        <v>1.9984014443252818E-15</v>
      </c>
      <c r="F56" s="81">
        <v>1.9984014443252818E-15</v>
      </c>
      <c r="G56" s="81">
        <v>1.9984014443252818E-15</v>
      </c>
    </row>
    <row r="57" spans="1:9">
      <c r="A57" s="80"/>
      <c r="B57" s="80" t="s">
        <v>96</v>
      </c>
      <c r="C57" s="81">
        <v>1.9984014443252818E-15</v>
      </c>
      <c r="D57" s="81">
        <v>1.9984014443252818E-15</v>
      </c>
      <c r="E57" s="81">
        <v>1.9984014443252818E-15</v>
      </c>
      <c r="F57" s="81">
        <v>1.9984014443252818E-15</v>
      </c>
      <c r="G57" s="81">
        <v>1.9984014443252818E-15</v>
      </c>
      <c r="H57" s="1"/>
      <c r="I57" s="1"/>
    </row>
    <row r="58" spans="1:9">
      <c r="A58" s="80" t="s">
        <v>14</v>
      </c>
      <c r="B58" s="80" t="s">
        <v>97</v>
      </c>
      <c r="C58" s="81">
        <v>1.9984014443252818E-15</v>
      </c>
      <c r="D58" s="81">
        <v>1.9984014443252818E-15</v>
      </c>
      <c r="E58" s="81">
        <v>1.9984014443252818E-15</v>
      </c>
      <c r="F58" s="81">
        <v>1.9984014443252818E-15</v>
      </c>
      <c r="G58" s="81">
        <v>1.9984014443252818E-15</v>
      </c>
    </row>
    <row r="59" spans="1:9">
      <c r="A59" s="80"/>
      <c r="B59" s="80" t="s">
        <v>98</v>
      </c>
      <c r="C59" s="81">
        <v>1.9984014443252818E-15</v>
      </c>
      <c r="D59" s="81">
        <v>1.9984014443252818E-15</v>
      </c>
      <c r="E59" s="81">
        <v>1.9984014443252818E-15</v>
      </c>
      <c r="F59" s="81">
        <v>1.9984014443252818E-15</v>
      </c>
      <c r="G59" s="81">
        <v>1.9984014443252818E-15</v>
      </c>
    </row>
    <row r="60" spans="1:9">
      <c r="A60" s="80"/>
      <c r="B60" s="80" t="s">
        <v>99</v>
      </c>
      <c r="C60" s="81">
        <v>1.9984014443252818E-15</v>
      </c>
      <c r="D60" s="81">
        <v>1.9984014443252818E-15</v>
      </c>
      <c r="E60" s="81">
        <v>1.9984014443252818E-15</v>
      </c>
      <c r="F60" s="81">
        <v>1.9984014443252818E-15</v>
      </c>
      <c r="G60" s="81">
        <v>1.9984014443252818E-15</v>
      </c>
    </row>
    <row r="61" spans="1:9">
      <c r="A61" s="80"/>
      <c r="B61" s="80" t="s">
        <v>100</v>
      </c>
      <c r="C61" s="81">
        <v>1.9984014443252818E-15</v>
      </c>
      <c r="D61" s="81">
        <v>1.9984014443252818E-15</v>
      </c>
      <c r="E61" s="81">
        <v>1.9984014443252818E-15</v>
      </c>
      <c r="F61" s="81">
        <v>1.9984014443252818E-15</v>
      </c>
      <c r="G61" s="81">
        <v>1.9984014443252818E-15</v>
      </c>
    </row>
    <row r="62" spans="1:9">
      <c r="A62" s="80"/>
      <c r="B62" s="80" t="s">
        <v>101</v>
      </c>
      <c r="C62" s="81">
        <v>1.9984014443252818E-15</v>
      </c>
      <c r="D62" s="81">
        <v>1.9984014443252818E-15</v>
      </c>
      <c r="E62" s="81">
        <v>1.9984014443252818E-15</v>
      </c>
      <c r="F62" s="81">
        <v>1.9984014443252818E-15</v>
      </c>
      <c r="G62" s="81">
        <v>1.9984014443252818E-15</v>
      </c>
    </row>
    <row r="63" spans="1:9">
      <c r="A63" s="80"/>
      <c r="B63" s="80" t="s">
        <v>102</v>
      </c>
      <c r="C63" s="81">
        <v>1.9984014443252818E-15</v>
      </c>
      <c r="D63" s="81">
        <v>1.9984014443252818E-15</v>
      </c>
      <c r="E63" s="81">
        <v>1.9984014443252818E-15</v>
      </c>
      <c r="F63" s="81">
        <v>1.9984014443252818E-15</v>
      </c>
      <c r="G63" s="81">
        <v>1.9984014443252818E-15</v>
      </c>
    </row>
    <row r="64" spans="1:9">
      <c r="A64" s="80"/>
      <c r="B64" s="80" t="s">
        <v>103</v>
      </c>
      <c r="C64" s="81">
        <v>1.9984014443252818E-15</v>
      </c>
      <c r="D64" s="81">
        <v>1.9984014443252818E-15</v>
      </c>
      <c r="E64" s="81">
        <v>1.9984014443252818E-15</v>
      </c>
      <c r="F64" s="81">
        <v>1.9984014443252818E-15</v>
      </c>
      <c r="G64" s="81">
        <v>1.9984014443252818E-15</v>
      </c>
    </row>
    <row r="65" spans="1:9">
      <c r="A65" s="80"/>
      <c r="B65" s="80" t="s">
        <v>104</v>
      </c>
      <c r="C65" s="81">
        <v>1.9984014443252818E-15</v>
      </c>
      <c r="D65" s="81">
        <v>1.9984014443252818E-15</v>
      </c>
      <c r="E65" s="81">
        <v>1.9984014443252818E-15</v>
      </c>
      <c r="F65" s="81">
        <v>1.9984014443252818E-15</v>
      </c>
      <c r="G65" s="81">
        <v>1.9984014443252818E-15</v>
      </c>
    </row>
    <row r="66" spans="1:9">
      <c r="A66" s="80"/>
      <c r="B66" s="80" t="s">
        <v>105</v>
      </c>
      <c r="C66" s="81">
        <v>1.9984014443252818E-15</v>
      </c>
      <c r="D66" s="81">
        <v>1.9984014443252818E-15</v>
      </c>
      <c r="E66" s="81">
        <v>1.9984014443252818E-15</v>
      </c>
      <c r="F66" s="81">
        <v>1.9984014443252818E-15</v>
      </c>
      <c r="G66" s="81">
        <v>1.9984014443252818E-15</v>
      </c>
    </row>
    <row r="67" spans="1:9">
      <c r="A67" s="80"/>
      <c r="B67" s="80" t="s">
        <v>106</v>
      </c>
      <c r="C67" s="81">
        <v>1.9984014443252818E-15</v>
      </c>
      <c r="D67" s="81">
        <v>1.9984014443252818E-15</v>
      </c>
      <c r="E67" s="81">
        <v>1.9984014443252818E-15</v>
      </c>
      <c r="F67" s="81">
        <v>1.9984014443252818E-15</v>
      </c>
      <c r="G67" s="81">
        <v>1.9984014443252818E-15</v>
      </c>
    </row>
    <row r="68" spans="1:9">
      <c r="A68" s="80"/>
      <c r="B68" s="80" t="s">
        <v>107</v>
      </c>
      <c r="C68" s="81">
        <v>1.9984014443252818E-15</v>
      </c>
      <c r="D68" s="81">
        <v>1.9984014443252818E-15</v>
      </c>
      <c r="E68" s="81">
        <v>1.9984014443252818E-15</v>
      </c>
      <c r="F68" s="81">
        <v>1.9984014443252818E-15</v>
      </c>
      <c r="G68" s="81">
        <v>1.9984014443252818E-15</v>
      </c>
    </row>
    <row r="69" spans="1:9">
      <c r="A69" s="80"/>
      <c r="B69" s="80" t="s">
        <v>108</v>
      </c>
      <c r="C69" s="81">
        <v>1.9984014443252818E-15</v>
      </c>
      <c r="D69" s="81">
        <v>1.9984014443252818E-15</v>
      </c>
      <c r="E69" s="81">
        <v>1.9984014443252818E-15</v>
      </c>
      <c r="F69" s="81">
        <v>1.9984014443252818E-15</v>
      </c>
      <c r="G69" s="81">
        <v>1.9984014443252818E-15</v>
      </c>
      <c r="H69" s="1"/>
      <c r="I69" s="1"/>
    </row>
    <row r="70" spans="1:9">
      <c r="A70" s="80" t="s">
        <v>15</v>
      </c>
      <c r="B70" s="80" t="s">
        <v>109</v>
      </c>
      <c r="C70" s="81">
        <v>1.9984014443252818E-15</v>
      </c>
      <c r="D70" s="81">
        <v>1.9984014443252818E-15</v>
      </c>
      <c r="E70" s="81">
        <v>1.9984014443252818E-15</v>
      </c>
      <c r="F70" s="81">
        <v>1.9984014443252818E-15</v>
      </c>
      <c r="G70" s="81">
        <v>1.9984014443252818E-15</v>
      </c>
    </row>
    <row r="71" spans="1:9">
      <c r="A71" s="80"/>
      <c r="B71" s="80" t="s">
        <v>110</v>
      </c>
      <c r="C71" s="81">
        <v>1.9984014443252818E-15</v>
      </c>
      <c r="D71" s="81">
        <v>1.9984014443252818E-15</v>
      </c>
      <c r="E71" s="81">
        <v>1.9984014443252818E-15</v>
      </c>
      <c r="F71" s="81">
        <v>1.9984014443252818E-15</v>
      </c>
      <c r="G71" s="81">
        <v>1.9984014443252818E-15</v>
      </c>
    </row>
    <row r="72" spans="1:9">
      <c r="A72" s="80"/>
      <c r="B72" s="80" t="s">
        <v>111</v>
      </c>
      <c r="C72" s="81">
        <v>1.9984014443252818E-15</v>
      </c>
      <c r="D72" s="81">
        <v>1.9984014443252818E-15</v>
      </c>
      <c r="E72" s="81">
        <v>1.9984014443252818E-15</v>
      </c>
      <c r="F72" s="81">
        <v>1.9984014443252818E-15</v>
      </c>
      <c r="G72" s="81">
        <v>1.9984014443252818E-15</v>
      </c>
    </row>
    <row r="73" spans="1:9">
      <c r="A73" s="80"/>
      <c r="B73" s="80" t="s">
        <v>112</v>
      </c>
      <c r="C73" s="81">
        <v>1.9984014443252818E-15</v>
      </c>
      <c r="D73" s="81">
        <v>1.9984014443252818E-15</v>
      </c>
      <c r="E73" s="81">
        <v>1.9984014443252818E-15</v>
      </c>
      <c r="F73" s="81">
        <v>1.9984014443252818E-15</v>
      </c>
      <c r="G73" s="81">
        <v>1.9984014443252818E-15</v>
      </c>
    </row>
    <row r="74" spans="1:9">
      <c r="A74" s="80"/>
      <c r="B74" s="80" t="s">
        <v>113</v>
      </c>
      <c r="C74" s="81">
        <v>1.9984014443252818E-15</v>
      </c>
      <c r="D74" s="81">
        <v>1.9984014443252818E-15</v>
      </c>
      <c r="E74" s="81">
        <v>1.9984014443252818E-15</v>
      </c>
      <c r="F74" s="81">
        <v>1.9984014443252818E-15</v>
      </c>
      <c r="G74" s="81">
        <v>1.9984014443252818E-15</v>
      </c>
    </row>
    <row r="75" spans="1:9">
      <c r="A75" s="80"/>
      <c r="B75" s="80" t="s">
        <v>114</v>
      </c>
      <c r="C75" s="81">
        <v>1.9984014443252818E-15</v>
      </c>
      <c r="D75" s="81">
        <v>1.9984014443252818E-15</v>
      </c>
      <c r="E75" s="81">
        <v>1.9984014443252818E-15</v>
      </c>
      <c r="F75" s="81">
        <v>1.9984014443252818E-15</v>
      </c>
      <c r="G75" s="81">
        <v>1.9984014443252818E-15</v>
      </c>
    </row>
    <row r="76" spans="1:9">
      <c r="A76" s="80"/>
      <c r="B76" s="80" t="s">
        <v>115</v>
      </c>
      <c r="C76" s="81">
        <v>1.9984014443252818E-15</v>
      </c>
      <c r="D76" s="81">
        <v>1.9984014443252818E-15</v>
      </c>
      <c r="E76" s="81">
        <v>1.9984014443252818E-15</v>
      </c>
      <c r="F76" s="81">
        <v>1.9984014443252818E-15</v>
      </c>
      <c r="G76" s="81">
        <v>1.9984014443252818E-15</v>
      </c>
    </row>
    <row r="77" spans="1:9">
      <c r="A77" s="80"/>
      <c r="B77" s="80" t="s">
        <v>116</v>
      </c>
      <c r="C77" s="81">
        <v>1.9984014443252818E-15</v>
      </c>
      <c r="D77" s="81">
        <v>1.9984014443252818E-15</v>
      </c>
      <c r="E77" s="81">
        <v>1.9984014443252818E-15</v>
      </c>
      <c r="F77" s="81">
        <v>1.9984014443252818E-15</v>
      </c>
      <c r="G77" s="81">
        <v>1.9984014443252818E-15</v>
      </c>
    </row>
    <row r="78" spans="1:9">
      <c r="A78" s="80"/>
      <c r="B78" s="80" t="s">
        <v>117</v>
      </c>
      <c r="C78" s="81">
        <v>1.9984014443252818E-15</v>
      </c>
      <c r="D78" s="81">
        <v>1.9984014443252818E-15</v>
      </c>
      <c r="E78" s="81">
        <v>1.9984014443252818E-15</v>
      </c>
      <c r="F78" s="81">
        <v>1.9984014443252818E-15</v>
      </c>
      <c r="G78" s="81">
        <v>1.9984014443252818E-15</v>
      </c>
    </row>
    <row r="79" spans="1:9">
      <c r="A79" s="80"/>
      <c r="B79" s="80" t="s">
        <v>118</v>
      </c>
      <c r="C79" s="81">
        <v>1.9984014443252818E-15</v>
      </c>
      <c r="D79" s="81">
        <v>1.9984014443252818E-15</v>
      </c>
      <c r="E79" s="81">
        <v>1.9984014443252818E-15</v>
      </c>
      <c r="F79" s="81">
        <v>1.9984014443252818E-15</v>
      </c>
      <c r="G79" s="81">
        <v>1.9984014443252818E-15</v>
      </c>
    </row>
    <row r="80" spans="1:9">
      <c r="A80" s="80"/>
      <c r="B80" s="80" t="s">
        <v>119</v>
      </c>
      <c r="C80" s="81">
        <v>1.9984014443252818E-15</v>
      </c>
      <c r="D80" s="81">
        <v>1.9984014443252818E-15</v>
      </c>
      <c r="E80" s="81">
        <v>1.9984014443252818E-15</v>
      </c>
      <c r="F80" s="81">
        <v>1.9984014443252818E-15</v>
      </c>
      <c r="G80" s="81">
        <v>1.9984014443252818E-15</v>
      </c>
    </row>
    <row r="81" spans="1:9">
      <c r="A81" s="80"/>
      <c r="B81" s="80" t="s">
        <v>120</v>
      </c>
      <c r="C81" s="81">
        <v>1.9984014443252818E-15</v>
      </c>
      <c r="D81" s="81">
        <v>1.9984014443252818E-15</v>
      </c>
      <c r="E81" s="81">
        <v>1.9984014443252818E-15</v>
      </c>
      <c r="F81" s="81">
        <v>1.9984014443252818E-15</v>
      </c>
      <c r="G81" s="81">
        <v>1.9984014443252818E-15</v>
      </c>
      <c r="H81" s="1"/>
      <c r="I81" s="1"/>
    </row>
    <row r="82" spans="1:9">
      <c r="A82" s="80" t="s">
        <v>270</v>
      </c>
      <c r="B82" s="80" t="s">
        <v>206</v>
      </c>
      <c r="C82" s="81">
        <v>1.9984014443252818E-15</v>
      </c>
      <c r="D82" s="81">
        <v>1.9984014443252818E-15</v>
      </c>
      <c r="E82" s="81">
        <v>1.9984014443252818E-15</v>
      </c>
      <c r="F82" s="81">
        <v>1.9984014443252818E-15</v>
      </c>
      <c r="G82" s="81">
        <v>1.9984014443252818E-15</v>
      </c>
    </row>
    <row r="83" spans="1:9">
      <c r="A83" s="80"/>
      <c r="B83" s="80" t="s">
        <v>207</v>
      </c>
      <c r="C83" s="81">
        <v>1.9984014443252818E-15</v>
      </c>
      <c r="D83" s="81">
        <v>1.9984014443252818E-15</v>
      </c>
      <c r="E83" s="81">
        <v>1.9984014443252818E-15</v>
      </c>
      <c r="F83" s="81">
        <v>1.9984014443252818E-15</v>
      </c>
      <c r="G83" s="81">
        <v>1.9984014443252818E-15</v>
      </c>
    </row>
    <row r="84" spans="1:9">
      <c r="A84" s="80"/>
      <c r="B84" s="80" t="s">
        <v>208</v>
      </c>
      <c r="C84" s="81">
        <v>1.9984014443252818E-15</v>
      </c>
      <c r="D84" s="81">
        <v>1.9984014443252818E-15</v>
      </c>
      <c r="E84" s="81">
        <v>1.9984014443252818E-15</v>
      </c>
      <c r="F84" s="81">
        <v>1.9984014443252818E-15</v>
      </c>
      <c r="G84" s="81">
        <v>1.9984014443252818E-15</v>
      </c>
    </row>
    <row r="85" spans="1:9">
      <c r="A85" s="80"/>
      <c r="B85" s="80" t="s">
        <v>209</v>
      </c>
      <c r="C85" s="81">
        <v>1.9984014443252818E-15</v>
      </c>
      <c r="D85" s="81">
        <v>1.9984014443252818E-15</v>
      </c>
      <c r="E85" s="81">
        <v>1.9984014443252818E-15</v>
      </c>
      <c r="F85" s="81">
        <v>1.9984014443252818E-15</v>
      </c>
      <c r="G85" s="81">
        <v>1.9984014443252818E-15</v>
      </c>
    </row>
    <row r="86" spans="1:9">
      <c r="A86" s="80"/>
      <c r="B86" s="80" t="s">
        <v>210</v>
      </c>
      <c r="C86" s="81">
        <v>1.9984014443252818E-15</v>
      </c>
      <c r="D86" s="81">
        <v>1.9984014443252818E-15</v>
      </c>
      <c r="E86" s="81">
        <v>1.9984014443252818E-15</v>
      </c>
      <c r="F86" s="81">
        <v>1.9984014443252818E-15</v>
      </c>
      <c r="G86" s="81">
        <v>1.9984014443252818E-15</v>
      </c>
    </row>
    <row r="87" spans="1:9">
      <c r="A87" s="80"/>
      <c r="B87" s="80" t="s">
        <v>211</v>
      </c>
      <c r="C87" s="81">
        <v>1.9984014443252818E-15</v>
      </c>
      <c r="D87" s="81">
        <v>1.9984014443252818E-15</v>
      </c>
      <c r="E87" s="81">
        <v>1.9984014443252818E-15</v>
      </c>
      <c r="F87" s="81">
        <v>1.9984014443252818E-15</v>
      </c>
      <c r="G87" s="81">
        <v>1.9984014443252818E-15</v>
      </c>
    </row>
    <row r="88" spans="1:9">
      <c r="A88" s="80"/>
      <c r="B88" s="80" t="s">
        <v>212</v>
      </c>
      <c r="C88" s="81">
        <v>1.9984014443252818E-15</v>
      </c>
      <c r="D88" s="81">
        <v>1.9984014443252818E-15</v>
      </c>
      <c r="E88" s="81">
        <v>1.9984014443252818E-15</v>
      </c>
      <c r="F88" s="81">
        <v>1.9984014443252818E-15</v>
      </c>
      <c r="G88" s="81">
        <v>1.9984014443252818E-15</v>
      </c>
    </row>
    <row r="89" spans="1:9">
      <c r="A89" s="80"/>
      <c r="B89" s="80" t="s">
        <v>213</v>
      </c>
      <c r="C89" s="81">
        <v>1.9984014443252818E-15</v>
      </c>
      <c r="D89" s="81">
        <v>1.9984014443252818E-15</v>
      </c>
      <c r="E89" s="81">
        <v>1.9984014443252818E-15</v>
      </c>
      <c r="F89" s="81">
        <v>1.9984014443252818E-15</v>
      </c>
      <c r="G89" s="81">
        <v>1.9984014443252818E-15</v>
      </c>
    </row>
    <row r="90" spans="1:9">
      <c r="A90" s="80"/>
      <c r="B90" s="80" t="s">
        <v>214</v>
      </c>
      <c r="C90" s="81">
        <v>1.9984014443252818E-15</v>
      </c>
      <c r="D90" s="81">
        <v>1.9984014443252818E-15</v>
      </c>
      <c r="E90" s="81">
        <v>1.9984014443252818E-15</v>
      </c>
      <c r="F90" s="81">
        <v>1.9984014443252818E-15</v>
      </c>
      <c r="G90" s="81">
        <v>1.9984014443252818E-15</v>
      </c>
    </row>
    <row r="91" spans="1:9">
      <c r="A91" s="80"/>
      <c r="B91" s="80" t="s">
        <v>215</v>
      </c>
      <c r="C91" s="81">
        <v>1.9984014443252818E-15</v>
      </c>
      <c r="D91" s="81">
        <v>1.9984014443252818E-15</v>
      </c>
      <c r="E91" s="81">
        <v>1.9984014443252818E-15</v>
      </c>
      <c r="F91" s="81">
        <v>1.9984014443252818E-15</v>
      </c>
      <c r="G91" s="81">
        <v>1.9984014443252818E-15</v>
      </c>
    </row>
    <row r="92" spans="1:9">
      <c r="A92" s="80"/>
      <c r="B92" s="80" t="s">
        <v>216</v>
      </c>
      <c r="C92" s="81">
        <v>1.9984014443252818E-15</v>
      </c>
      <c r="D92" s="81">
        <v>1.9984014443252818E-15</v>
      </c>
      <c r="E92" s="81">
        <v>1.9984014443252818E-15</v>
      </c>
      <c r="F92" s="81">
        <v>1.9984014443252818E-15</v>
      </c>
      <c r="G92" s="81">
        <v>1.9984014443252818E-15</v>
      </c>
    </row>
    <row r="93" spans="1:9">
      <c r="A93" s="80"/>
      <c r="B93" s="80" t="s">
        <v>217</v>
      </c>
      <c r="C93" s="81">
        <v>1.9984014443252818E-15</v>
      </c>
      <c r="D93" s="81">
        <v>1.9984014443252818E-15</v>
      </c>
      <c r="E93" s="81">
        <v>1.9984014443252818E-15</v>
      </c>
      <c r="F93" s="81">
        <v>1.9984014443252818E-15</v>
      </c>
      <c r="G93" s="81">
        <v>1.9984014443252818E-15</v>
      </c>
    </row>
    <row r="94" spans="1:9">
      <c r="A94" s="79"/>
      <c r="B94" s="79"/>
      <c r="C94" s="79"/>
      <c r="D94" s="88">
        <f>SUM(D10:D93)</f>
        <v>6.2428006352662351</v>
      </c>
      <c r="E94" s="88">
        <f>SUM(E10:E93)</f>
        <v>37.733429999999998</v>
      </c>
      <c r="F94" s="628"/>
      <c r="G94" s="79"/>
    </row>
    <row r="95" spans="1:9" ht="39.950000000000003" customHeight="1">
      <c r="A95" s="688" t="s">
        <v>398</v>
      </c>
      <c r="B95" s="688"/>
      <c r="C95" s="688"/>
      <c r="D95" s="688"/>
      <c r="E95" s="688"/>
      <c r="F95" s="688"/>
      <c r="G95" s="688"/>
      <c r="H95" s="688"/>
    </row>
    <row r="96" spans="1:9">
      <c r="A96" t="s">
        <v>479</v>
      </c>
    </row>
    <row r="97" spans="1:2">
      <c r="A97">
        <v>1</v>
      </c>
      <c r="B97" t="s">
        <v>480</v>
      </c>
    </row>
    <row r="98" spans="1:2">
      <c r="A98">
        <v>2</v>
      </c>
      <c r="B98" t="s">
        <v>481</v>
      </c>
    </row>
  </sheetData>
  <mergeCells count="2">
    <mergeCell ref="A2:G2"/>
    <mergeCell ref="A95:H95"/>
  </mergeCells>
  <pageMargins left="0.7" right="0.7" top="0.75" bottom="0.75" header="0.3" footer="0.3"/>
  <pageSetup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82"/>
  <sheetViews>
    <sheetView view="pageBreakPreview" topLeftCell="A48" zoomScale="55" zoomScaleSheetLayoutView="55" workbookViewId="0">
      <selection activeCell="B30" sqref="B30:K57"/>
    </sheetView>
  </sheetViews>
  <sheetFormatPr defaultRowHeight="15"/>
  <cols>
    <col min="1" max="1" width="3.7109375" customWidth="1"/>
    <col min="2" max="2" width="7.5703125" bestFit="1" customWidth="1"/>
    <col min="3" max="3" width="30.5703125" customWidth="1"/>
    <col min="4" max="4" width="10.85546875" customWidth="1"/>
    <col min="5" max="11" width="12.4257812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676" t="s">
        <v>792</v>
      </c>
      <c r="D2" s="676"/>
      <c r="E2" s="676"/>
      <c r="F2" s="676"/>
      <c r="G2" s="676"/>
      <c r="H2" s="676"/>
      <c r="I2" s="676"/>
      <c r="J2" s="676"/>
      <c r="K2" s="676"/>
      <c r="L2" s="172"/>
    </row>
    <row r="4" spans="3:22">
      <c r="C4" s="69" t="s">
        <v>0</v>
      </c>
      <c r="D4" s="69" t="s">
        <v>790</v>
      </c>
      <c r="E4" s="70" t="s">
        <v>2</v>
      </c>
      <c r="F4" s="70" t="s">
        <v>3</v>
      </c>
      <c r="G4" s="70" t="s">
        <v>4</v>
      </c>
      <c r="H4" s="70" t="s">
        <v>5</v>
      </c>
      <c r="I4" s="70" t="s">
        <v>6</v>
      </c>
      <c r="J4" s="70" t="s">
        <v>163</v>
      </c>
      <c r="K4" s="70" t="s">
        <v>162</v>
      </c>
      <c r="L4" s="79"/>
      <c r="M4" s="79"/>
      <c r="N4" s="209"/>
      <c r="O4" s="209"/>
      <c r="P4" s="209"/>
      <c r="Q4" s="209"/>
      <c r="R4" s="209"/>
      <c r="S4" s="209"/>
      <c r="T4" s="209"/>
      <c r="U4" s="209"/>
      <c r="V4" s="209"/>
    </row>
    <row r="5" spans="3:22">
      <c r="C5" s="80" t="s">
        <v>354</v>
      </c>
      <c r="D5" s="80"/>
      <c r="E5" s="80"/>
      <c r="F5" s="80"/>
      <c r="G5" s="80"/>
      <c r="H5" s="80"/>
      <c r="I5" s="80"/>
      <c r="J5" s="80"/>
      <c r="K5" s="80"/>
      <c r="L5" s="79"/>
      <c r="M5" s="79"/>
      <c r="N5" s="691" t="s">
        <v>476</v>
      </c>
      <c r="O5" s="691"/>
      <c r="P5" s="691"/>
      <c r="Q5" s="691"/>
      <c r="R5" s="691"/>
      <c r="S5" s="209"/>
      <c r="T5" s="209"/>
      <c r="U5" s="691" t="s">
        <v>477</v>
      </c>
      <c r="V5" s="691"/>
    </row>
    <row r="6" spans="3:22">
      <c r="C6" s="80" t="s">
        <v>355</v>
      </c>
      <c r="D6" s="152"/>
      <c r="E6" s="80"/>
      <c r="F6" s="81">
        <v>0</v>
      </c>
      <c r="G6" s="81">
        <v>0</v>
      </c>
      <c r="H6" s="81">
        <v>0</v>
      </c>
      <c r="I6" s="81">
        <v>0</v>
      </c>
      <c r="J6" s="81">
        <v>0</v>
      </c>
      <c r="K6" s="81">
        <v>0</v>
      </c>
      <c r="L6" s="79"/>
      <c r="M6" s="79"/>
      <c r="N6" s="690" t="s">
        <v>478</v>
      </c>
      <c r="O6" s="690"/>
      <c r="P6" s="690"/>
      <c r="Q6" s="690"/>
      <c r="R6" s="690"/>
      <c r="S6" s="209"/>
      <c r="T6" s="209"/>
      <c r="U6" s="690" t="s">
        <v>478</v>
      </c>
      <c r="V6" s="690"/>
    </row>
    <row r="7" spans="3:22">
      <c r="C7" s="80" t="s">
        <v>436</v>
      </c>
      <c r="D7" s="152"/>
      <c r="E7" s="80"/>
      <c r="F7" s="360">
        <v>0</v>
      </c>
      <c r="G7" s="360">
        <v>0</v>
      </c>
      <c r="H7" s="360">
        <v>0</v>
      </c>
      <c r="I7" s="360">
        <v>0</v>
      </c>
      <c r="J7" s="360">
        <v>0</v>
      </c>
      <c r="K7" s="360">
        <v>0</v>
      </c>
      <c r="L7" s="79"/>
      <c r="M7" s="79"/>
      <c r="N7" s="210" t="s">
        <v>0</v>
      </c>
      <c r="O7" s="210" t="s">
        <v>158</v>
      </c>
      <c r="P7" s="210" t="s">
        <v>159</v>
      </c>
      <c r="Q7" s="210" t="s">
        <v>305</v>
      </c>
      <c r="R7" s="210" t="s">
        <v>306</v>
      </c>
      <c r="S7" s="209"/>
      <c r="T7" s="209"/>
      <c r="U7" s="286" t="s">
        <v>0</v>
      </c>
      <c r="V7" s="286" t="s">
        <v>456</v>
      </c>
    </row>
    <row r="8" spans="3:22">
      <c r="C8" s="80" t="s">
        <v>863</v>
      </c>
      <c r="D8" s="152"/>
      <c r="E8" s="80"/>
      <c r="F8" s="360">
        <f t="shared" ref="F8:K9" si="0">E17</f>
        <v>0</v>
      </c>
      <c r="G8" s="360">
        <f t="shared" si="0"/>
        <v>0</v>
      </c>
      <c r="H8" s="360">
        <f t="shared" si="0"/>
        <v>0</v>
      </c>
      <c r="I8" s="360">
        <f t="shared" si="0"/>
        <v>0</v>
      </c>
      <c r="J8" s="360">
        <f t="shared" si="0"/>
        <v>0</v>
      </c>
      <c r="K8" s="360">
        <f t="shared" si="0"/>
        <v>0</v>
      </c>
      <c r="L8" s="79"/>
      <c r="M8" s="79"/>
      <c r="N8" s="211" t="s">
        <v>356</v>
      </c>
      <c r="O8" s="211">
        <f>'17.Facility 6 Horti Processing '!C152</f>
        <v>0</v>
      </c>
      <c r="P8" s="211">
        <f>'17.Facility 6 Horti Processing '!C153</f>
        <v>0</v>
      </c>
      <c r="Q8" s="211">
        <f>'17.Facility 6 Horti Processing '!C154</f>
        <v>150</v>
      </c>
      <c r="R8" s="211">
        <f>'17.Facility 6 Horti Processing '!C155</f>
        <v>40</v>
      </c>
      <c r="S8" s="209"/>
      <c r="T8" s="209"/>
      <c r="U8" s="211" t="s">
        <v>331</v>
      </c>
      <c r="V8" s="211" t="str">
        <f>'13.Facility 2 Grain Processing-'!C97</f>
        <v>As per Purchase Schedule</v>
      </c>
    </row>
    <row r="9" spans="3:22">
      <c r="C9" s="80" t="str">
        <f>C18</f>
        <v xml:space="preserve">Grain Processing </v>
      </c>
      <c r="D9" s="80"/>
      <c r="E9" s="80"/>
      <c r="F9" s="360">
        <f>E18</f>
        <v>66.10733333333333</v>
      </c>
      <c r="G9" s="360">
        <f t="shared" si="0"/>
        <v>109.82976666666667</v>
      </c>
      <c r="H9" s="360">
        <f t="shared" si="0"/>
        <v>156.91657499999999</v>
      </c>
      <c r="I9" s="360">
        <f t="shared" si="0"/>
        <v>208.44056666666665</v>
      </c>
      <c r="J9" s="360">
        <f t="shared" si="0"/>
        <v>264.71705000000003</v>
      </c>
      <c r="K9" s="360">
        <f t="shared" si="0"/>
        <v>330.24986666666672</v>
      </c>
      <c r="L9" s="79"/>
      <c r="M9" s="79"/>
      <c r="N9" s="211" t="str">
        <f>'17.Facility 6 Horti Processing '!A156</f>
        <v>Pomegranate Powder</v>
      </c>
      <c r="O9" s="211" t="e">
        <f>('17.Facility 6 Horti Processing '!B156*'17.Facility 6 Horti Processing '!C156/1000)*100</f>
        <v>#VALUE!</v>
      </c>
      <c r="P9" s="211" t="e">
        <f>O9</f>
        <v>#VALUE!</v>
      </c>
      <c r="Q9" s="211" t="e">
        <f t="shared" ref="Q9:R9" si="1">P9</f>
        <v>#VALUE!</v>
      </c>
      <c r="R9" s="211" t="e">
        <f t="shared" si="1"/>
        <v>#VALUE!</v>
      </c>
      <c r="S9" s="209"/>
      <c r="T9" s="209"/>
      <c r="U9" s="211" t="e">
        <f>'13.Facility 2 Grain Processing-'!#REF!</f>
        <v>#REF!</v>
      </c>
      <c r="V9" s="212" t="e">
        <f>'13.Facility 2 Grain Processing-'!#REF!</f>
        <v>#REF!</v>
      </c>
    </row>
    <row r="10" spans="3:22">
      <c r="C10" s="80"/>
      <c r="D10" s="80"/>
      <c r="E10" s="80"/>
      <c r="F10" s="360"/>
      <c r="G10" s="360"/>
      <c r="H10" s="360"/>
      <c r="I10" s="360"/>
      <c r="J10" s="360"/>
      <c r="K10" s="360"/>
      <c r="L10" s="79"/>
      <c r="M10" s="79"/>
      <c r="N10" s="211">
        <f>'17.Facility 6 Horti Processing '!A157</f>
        <v>0</v>
      </c>
      <c r="O10" s="213">
        <f>('17.Facility 6 Horti Processing '!B157*'17.Facility 6 Horti Processing '!C157)/('17.Facility 6 Horti Processing '!B5*'17.Facility 6 Horti Processing '!B6)</f>
        <v>0</v>
      </c>
      <c r="P10" s="213">
        <f>O10</f>
        <v>0</v>
      </c>
      <c r="Q10" s="213">
        <f t="shared" ref="Q10:R10" si="2">P10</f>
        <v>0</v>
      </c>
      <c r="R10" s="213">
        <f t="shared" si="2"/>
        <v>0</v>
      </c>
      <c r="S10" s="209"/>
      <c r="T10" s="209"/>
      <c r="U10" s="211" t="str">
        <f>'13.Facility 2 Grain Processing-'!A98</f>
        <v xml:space="preserve">Daily Labour </v>
      </c>
      <c r="V10" s="212" t="e">
        <f>'13.Facility 2 Grain Processing-'!B98*'13.Facility 2 Grain Processing-'!C98/('13.Facility 2 Grain Processing-'!B7*'13.Facility 2 Grain Processing-'!B8)</f>
        <v>#VALUE!</v>
      </c>
    </row>
    <row r="11" spans="3:22">
      <c r="C11" s="80"/>
      <c r="D11" s="80"/>
      <c r="E11" s="80"/>
      <c r="F11" s="360"/>
      <c r="G11" s="360"/>
      <c r="H11" s="360"/>
      <c r="I11" s="360"/>
      <c r="J11" s="360"/>
      <c r="K11" s="360"/>
      <c r="L11" s="79"/>
      <c r="M11" s="79"/>
      <c r="N11" s="211">
        <f>'17.Facility 6 Horti Processing '!A158</f>
        <v>0</v>
      </c>
      <c r="O11" s="213">
        <f>('17.Facility 6 Horti Processing '!B158*'17.Facility 6 Horti Processing '!C158)/('17.Facility 6 Horti Processing '!B5*'17.Facility 6 Horti Processing '!B6)</f>
        <v>0</v>
      </c>
      <c r="P11" s="213">
        <f>O11</f>
        <v>0</v>
      </c>
      <c r="Q11" s="213">
        <f t="shared" ref="Q11" si="3">P11</f>
        <v>0</v>
      </c>
      <c r="R11" s="213">
        <f t="shared" ref="R11" si="4">Q11</f>
        <v>0</v>
      </c>
      <c r="S11" s="209"/>
      <c r="T11" s="209"/>
      <c r="U11" s="211" t="str">
        <f>'13.Facility 2 Grain Processing-'!A100</f>
        <v>Electricity Charges</v>
      </c>
      <c r="V11" s="211" t="e">
        <f>'13.Facility 2 Grain Processing-'!B100*'13.Facility 2 Grain Processing-'!C100/('13.Facility 2 Grain Processing-'!B7*'13.Facility 2 Grain Processing-'!B8)</f>
        <v>#VALUE!</v>
      </c>
    </row>
    <row r="12" spans="3:22">
      <c r="C12" s="80" t="s">
        <v>1</v>
      </c>
      <c r="D12" s="80"/>
      <c r="E12" s="81"/>
      <c r="F12" s="360">
        <f t="shared" ref="F12:K12" si="5">SUM(F6:F11)</f>
        <v>66.10733333333333</v>
      </c>
      <c r="G12" s="360">
        <f t="shared" si="5"/>
        <v>109.82976666666667</v>
      </c>
      <c r="H12" s="360">
        <f t="shared" si="5"/>
        <v>156.91657499999999</v>
      </c>
      <c r="I12" s="360">
        <f t="shared" si="5"/>
        <v>208.44056666666665</v>
      </c>
      <c r="J12" s="360">
        <f t="shared" si="5"/>
        <v>264.71705000000003</v>
      </c>
      <c r="K12" s="360">
        <f t="shared" si="5"/>
        <v>330.24986666666672</v>
      </c>
      <c r="L12" s="79"/>
      <c r="M12" s="79"/>
      <c r="N12" s="211" t="str">
        <f>'17.Facility 6 Horti Processing '!A159</f>
        <v>Revenue</v>
      </c>
      <c r="O12" s="211">
        <f>'17.Facility 6 Horti Processing '!C159*2</f>
        <v>0</v>
      </c>
      <c r="P12" s="211">
        <f>O12</f>
        <v>0</v>
      </c>
      <c r="Q12" s="211">
        <f t="shared" ref="Q12:R13" si="6">P12</f>
        <v>0</v>
      </c>
      <c r="R12" s="211">
        <f t="shared" si="6"/>
        <v>0</v>
      </c>
      <c r="S12" s="209"/>
      <c r="T12" s="209"/>
      <c r="U12" s="211" t="str">
        <f>'13.Facility 2 Grain Processing-'!A104</f>
        <v>Repairs &amp; Maintainence</v>
      </c>
      <c r="V12" s="211">
        <f>'13.Facility 2 Grain Processing-'!C104</f>
        <v>300</v>
      </c>
    </row>
    <row r="13" spans="3:22">
      <c r="C13" s="80"/>
      <c r="D13" s="80"/>
      <c r="E13" s="80"/>
      <c r="F13" s="360"/>
      <c r="G13" s="360"/>
      <c r="H13" s="360"/>
      <c r="I13" s="360"/>
      <c r="J13" s="360"/>
      <c r="K13" s="360"/>
      <c r="L13" s="79"/>
      <c r="M13" s="79"/>
      <c r="N13" s="211">
        <f>'17.Facility 6 Horti Processing '!A160</f>
        <v>0</v>
      </c>
      <c r="O13" s="211">
        <f>'17.Facility 6 Horti Processing '!C160*2</f>
        <v>0</v>
      </c>
      <c r="P13" s="211">
        <f>O13</f>
        <v>0</v>
      </c>
      <c r="Q13" s="211">
        <f t="shared" si="6"/>
        <v>0</v>
      </c>
      <c r="R13" s="211">
        <f t="shared" si="6"/>
        <v>0</v>
      </c>
      <c r="S13" s="209"/>
      <c r="T13" s="209"/>
      <c r="U13" s="211" t="str">
        <f>'13.Facility 2 Grain Processing-'!A105</f>
        <v>Selling &amp; Dist Exp</v>
      </c>
      <c r="V13" s="10">
        <f>'13.Facility 2 Grain Processing-'!C105*100</f>
        <v>15900</v>
      </c>
    </row>
    <row r="14" spans="3:22">
      <c r="C14" s="82" t="s">
        <v>333</v>
      </c>
      <c r="D14" s="80"/>
      <c r="E14" s="80"/>
      <c r="F14" s="360"/>
      <c r="G14" s="360"/>
      <c r="H14" s="360"/>
      <c r="I14" s="360"/>
      <c r="J14" s="360"/>
      <c r="K14" s="360"/>
      <c r="L14" s="79"/>
      <c r="M14" s="79"/>
      <c r="N14" s="211"/>
      <c r="O14" s="10"/>
      <c r="P14" s="10"/>
      <c r="Q14" s="10"/>
      <c r="R14" s="10"/>
      <c r="S14" s="209"/>
      <c r="T14" s="209"/>
      <c r="U14" s="10"/>
      <c r="V14" s="10"/>
    </row>
    <row r="15" spans="3:22">
      <c r="C15" s="80" t="str">
        <f>C6</f>
        <v>Agri Input</v>
      </c>
      <c r="D15" s="480">
        <v>15</v>
      </c>
      <c r="E15" s="81">
        <v>0</v>
      </c>
      <c r="F15" s="360">
        <v>0</v>
      </c>
      <c r="G15" s="360">
        <v>0</v>
      </c>
      <c r="H15" s="360">
        <v>0</v>
      </c>
      <c r="I15" s="360">
        <v>0</v>
      </c>
      <c r="J15" s="360">
        <v>0</v>
      </c>
      <c r="K15" s="360">
        <v>0</v>
      </c>
      <c r="L15" s="79"/>
      <c r="M15" s="79"/>
      <c r="N15" s="10"/>
      <c r="O15" s="10"/>
      <c r="P15" s="10"/>
      <c r="Q15" s="10"/>
      <c r="R15" s="10"/>
      <c r="U15" s="10"/>
      <c r="V15" s="10"/>
    </row>
    <row r="16" spans="3:22">
      <c r="C16" s="80" t="str">
        <f>C7</f>
        <v>Trading</v>
      </c>
      <c r="D16" s="480">
        <v>15</v>
      </c>
      <c r="E16" s="81">
        <v>0</v>
      </c>
      <c r="F16" s="360">
        <v>0</v>
      </c>
      <c r="G16" s="360">
        <v>0</v>
      </c>
      <c r="H16" s="360">
        <v>0</v>
      </c>
      <c r="I16" s="360">
        <v>0</v>
      </c>
      <c r="J16" s="360">
        <v>0</v>
      </c>
      <c r="K16" s="360">
        <v>0</v>
      </c>
      <c r="L16" s="79"/>
      <c r="M16" s="79"/>
      <c r="N16" s="210" t="s">
        <v>357</v>
      </c>
      <c r="O16" s="214" t="e">
        <f>SUM(O8:O13)</f>
        <v>#VALUE!</v>
      </c>
      <c r="P16" s="214" t="e">
        <f>SUM(P8:P13)</f>
        <v>#VALUE!</v>
      </c>
      <c r="Q16" s="214" t="e">
        <f>SUM(Q8:Q13)</f>
        <v>#VALUE!</v>
      </c>
      <c r="R16" s="214" t="e">
        <f>SUM(R8:R13)</f>
        <v>#VALUE!</v>
      </c>
      <c r="U16" s="210" t="s">
        <v>1</v>
      </c>
      <c r="V16" s="214" t="e">
        <f>SUM(V8:V15)</f>
        <v>#REF!</v>
      </c>
    </row>
    <row r="17" spans="1:18">
      <c r="C17" s="80" t="str">
        <f>C8</f>
        <v xml:space="preserve">Horticulture  Processing </v>
      </c>
      <c r="D17" s="480">
        <v>15</v>
      </c>
      <c r="E17" s="81">
        <f>SUM('17.Facility 6 Horti Processing '!D152:D160)*$D$17</f>
        <v>0</v>
      </c>
      <c r="F17" s="360">
        <f>SUM('17.Facility 6 Horti Processing '!E152:E160)*$D$17</f>
        <v>0</v>
      </c>
      <c r="G17" s="360">
        <f>SUM('17.Facility 6 Horti Processing '!F152:F160)*$D$17</f>
        <v>0</v>
      </c>
      <c r="H17" s="360">
        <f>SUM('17.Facility 6 Horti Processing '!G152:G160)*$D$17</f>
        <v>0</v>
      </c>
      <c r="I17" s="360">
        <f>SUM('17.Facility 6 Horti Processing '!H152:H160)*$D$17</f>
        <v>0</v>
      </c>
      <c r="J17" s="360">
        <f>SUM('17.Facility 6 Horti Processing '!I152:I160)*$D$17</f>
        <v>0</v>
      </c>
      <c r="K17" s="360">
        <f>SUM('17.Facility 6 Horti Processing '!J152:J160)*$D$17</f>
        <v>0</v>
      </c>
      <c r="L17" s="79"/>
      <c r="M17" s="79"/>
    </row>
    <row r="18" spans="1:18">
      <c r="C18" s="80" t="s">
        <v>491</v>
      </c>
      <c r="D18" s="480" t="s">
        <v>791</v>
      </c>
      <c r="E18" s="360">
        <f>+'13.Facility 2 Grain Processing-'!C351+'13.Facility 2 Grain Processing-'!B476</f>
        <v>66.10733333333333</v>
      </c>
      <c r="F18" s="360">
        <f>+'13.Facility 2 Grain Processing-'!D351+'13.Facility 2 Grain Processing-'!C476</f>
        <v>109.82976666666667</v>
      </c>
      <c r="G18" s="360">
        <f>+'13.Facility 2 Grain Processing-'!E351+'13.Facility 2 Grain Processing-'!D476</f>
        <v>156.91657499999999</v>
      </c>
      <c r="H18" s="360">
        <f>+'13.Facility 2 Grain Processing-'!F351+'13.Facility 2 Grain Processing-'!E476</f>
        <v>208.44056666666665</v>
      </c>
      <c r="I18" s="360">
        <f>+'13.Facility 2 Grain Processing-'!G351+'13.Facility 2 Grain Processing-'!F476</f>
        <v>264.71705000000003</v>
      </c>
      <c r="J18" s="360">
        <f>+'13.Facility 2 Grain Processing-'!H351+'13.Facility 2 Grain Processing-'!G476</f>
        <v>330.24986666666672</v>
      </c>
      <c r="K18" s="360">
        <f>+'13.Facility 2 Grain Processing-'!I351+'13.Facility 2 Grain Processing-'!H476</f>
        <v>405.58716666666669</v>
      </c>
      <c r="L18" s="79"/>
      <c r="M18" s="79"/>
    </row>
    <row r="19" spans="1:18">
      <c r="C19" s="80"/>
      <c r="D19" s="207"/>
      <c r="E19" s="81"/>
      <c r="F19" s="360"/>
      <c r="G19" s="360"/>
      <c r="H19" s="360"/>
      <c r="I19" s="360"/>
      <c r="J19" s="360"/>
      <c r="K19" s="360"/>
      <c r="L19" s="79"/>
      <c r="M19" s="79"/>
    </row>
    <row r="20" spans="1:18">
      <c r="C20" s="80"/>
      <c r="D20" s="80"/>
      <c r="E20" s="80"/>
      <c r="F20" s="360"/>
      <c r="G20" s="360"/>
      <c r="H20" s="360"/>
      <c r="I20" s="360"/>
      <c r="J20" s="360"/>
      <c r="K20" s="360"/>
      <c r="L20" s="79"/>
      <c r="M20" s="79"/>
    </row>
    <row r="21" spans="1:18">
      <c r="C21" s="80" t="s">
        <v>1</v>
      </c>
      <c r="D21" s="80"/>
      <c r="E21" s="361">
        <f t="shared" ref="E21:K21" si="7">SUM(E15:E20)</f>
        <v>66.10733333333333</v>
      </c>
      <c r="F21" s="360">
        <f t="shared" si="7"/>
        <v>109.82976666666667</v>
      </c>
      <c r="G21" s="360">
        <f t="shared" si="7"/>
        <v>156.91657499999999</v>
      </c>
      <c r="H21" s="360">
        <f t="shared" si="7"/>
        <v>208.44056666666665</v>
      </c>
      <c r="I21" s="360">
        <f t="shared" si="7"/>
        <v>264.71705000000003</v>
      </c>
      <c r="J21" s="360">
        <f t="shared" si="7"/>
        <v>330.24986666666672</v>
      </c>
      <c r="K21" s="360">
        <f t="shared" si="7"/>
        <v>405.58716666666669</v>
      </c>
      <c r="L21" s="79"/>
      <c r="M21" s="79"/>
    </row>
    <row r="22" spans="1:18">
      <c r="C22" s="79"/>
      <c r="D22" s="79"/>
      <c r="E22" s="79"/>
      <c r="F22" s="79"/>
      <c r="G22" s="79"/>
      <c r="H22" s="79"/>
      <c r="I22" s="79"/>
      <c r="J22" s="79"/>
      <c r="K22" s="79"/>
      <c r="L22" s="79"/>
      <c r="M22" s="79"/>
    </row>
    <row r="23" spans="1:18" ht="41.1" customHeight="1">
      <c r="B23" s="603"/>
      <c r="C23" s="681" t="s">
        <v>399</v>
      </c>
      <c r="D23" s="681"/>
      <c r="E23" s="681"/>
      <c r="F23" s="681"/>
      <c r="G23" s="681"/>
      <c r="H23" s="681"/>
      <c r="I23" s="681"/>
      <c r="J23" s="681"/>
      <c r="K23" s="681"/>
      <c r="L23" s="285"/>
      <c r="M23" s="285"/>
      <c r="N23" s="285"/>
      <c r="O23" s="244"/>
      <c r="P23" s="244"/>
      <c r="Q23" s="244"/>
      <c r="R23" s="244"/>
    </row>
    <row r="24" spans="1:18">
      <c r="A24" t="s">
        <v>479</v>
      </c>
    </row>
    <row r="25" spans="1:18">
      <c r="A25">
        <v>1</v>
      </c>
      <c r="B25" t="s">
        <v>482</v>
      </c>
    </row>
    <row r="28" spans="1:18" ht="18.75">
      <c r="B28" s="676" t="s">
        <v>501</v>
      </c>
      <c r="C28" s="676"/>
      <c r="D28" s="676"/>
      <c r="E28" s="676"/>
      <c r="F28" s="676"/>
      <c r="G28" s="676"/>
      <c r="H28" s="676"/>
      <c r="I28" s="676"/>
      <c r="J28" s="676"/>
      <c r="K28" s="676"/>
    </row>
    <row r="30" spans="1:18">
      <c r="B30" s="694" t="s">
        <v>140</v>
      </c>
      <c r="C30" s="694" t="s">
        <v>0</v>
      </c>
      <c r="D30" s="695" t="s">
        <v>353</v>
      </c>
      <c r="E30" s="697" t="s">
        <v>154</v>
      </c>
      <c r="F30" s="698"/>
      <c r="G30" s="698"/>
      <c r="H30" s="698"/>
      <c r="I30" s="698"/>
      <c r="J30" s="698"/>
      <c r="K30" s="698"/>
    </row>
    <row r="31" spans="1:18" ht="31.5" customHeight="1">
      <c r="B31" s="694"/>
      <c r="C31" s="694"/>
      <c r="D31" s="696"/>
      <c r="E31" s="177" t="s">
        <v>2</v>
      </c>
      <c r="F31" s="177" t="s">
        <v>3</v>
      </c>
      <c r="G31" s="177" t="s">
        <v>4</v>
      </c>
      <c r="H31" s="177" t="s">
        <v>5</v>
      </c>
      <c r="I31" s="177" t="s">
        <v>6</v>
      </c>
      <c r="J31" s="177" t="s">
        <v>163</v>
      </c>
      <c r="K31" s="177" t="s">
        <v>162</v>
      </c>
    </row>
    <row r="32" spans="1:18">
      <c r="B32" s="180"/>
      <c r="C32" s="181"/>
      <c r="D32" s="181"/>
      <c r="E32" s="182"/>
      <c r="F32" s="182"/>
      <c r="G32" s="182"/>
      <c r="H32" s="182"/>
      <c r="I32" s="182"/>
      <c r="J32" s="182"/>
      <c r="K32" s="182"/>
    </row>
    <row r="33" spans="2:11" ht="28.5">
      <c r="B33" s="183" t="s">
        <v>167</v>
      </c>
      <c r="C33" s="184" t="s">
        <v>334</v>
      </c>
      <c r="D33" s="195"/>
      <c r="E33" s="185"/>
      <c r="F33" s="185"/>
      <c r="G33" s="185"/>
      <c r="H33" s="185"/>
      <c r="I33" s="185"/>
      <c r="J33" s="185"/>
      <c r="K33" s="185"/>
    </row>
    <row r="34" spans="2:11">
      <c r="B34" s="233">
        <v>1</v>
      </c>
      <c r="C34" s="186" t="s">
        <v>355</v>
      </c>
      <c r="D34" s="195">
        <v>14</v>
      </c>
      <c r="E34" s="481">
        <v>0</v>
      </c>
      <c r="F34" s="481">
        <v>0</v>
      </c>
      <c r="G34" s="481">
        <v>0</v>
      </c>
      <c r="H34" s="481">
        <v>0</v>
      </c>
      <c r="I34" s="481">
        <v>0</v>
      </c>
      <c r="J34" s="481">
        <v>0</v>
      </c>
      <c r="K34" s="481">
        <v>0</v>
      </c>
    </row>
    <row r="35" spans="2:11">
      <c r="B35" s="233">
        <v>2</v>
      </c>
      <c r="C35" s="186" t="s">
        <v>350</v>
      </c>
      <c r="D35" s="195">
        <v>14</v>
      </c>
      <c r="E35" s="481">
        <f>('15. Facility 4 Custom Hiring'!E39/365)*$D$35</f>
        <v>0</v>
      </c>
      <c r="F35" s="481">
        <f>('15. Facility 4 Custom Hiring'!F39/365)*$D$35</f>
        <v>0</v>
      </c>
      <c r="G35" s="481">
        <f>('15. Facility 4 Custom Hiring'!G39/365)*$D$35</f>
        <v>0</v>
      </c>
      <c r="H35" s="481">
        <f>('15. Facility 4 Custom Hiring'!H39/365)*$D$35</f>
        <v>0</v>
      </c>
      <c r="I35" s="481">
        <f>('15. Facility 4 Custom Hiring'!I39/365)*$D$35</f>
        <v>0</v>
      </c>
      <c r="J35" s="481">
        <f>('15. Facility 4 Custom Hiring'!J39/365)*$D$35</f>
        <v>0</v>
      </c>
      <c r="K35" s="481">
        <f>('15. Facility 4 Custom Hiring'!K39/365)*$D$35</f>
        <v>0</v>
      </c>
    </row>
    <row r="36" spans="2:11">
      <c r="B36" s="233">
        <v>3</v>
      </c>
      <c r="C36" s="186" t="s">
        <v>351</v>
      </c>
      <c r="D36" s="195">
        <v>14</v>
      </c>
      <c r="E36" s="481">
        <v>0</v>
      </c>
      <c r="F36" s="481">
        <v>0</v>
      </c>
      <c r="G36" s="481">
        <v>0</v>
      </c>
      <c r="H36" s="481">
        <v>0</v>
      </c>
      <c r="I36" s="481">
        <v>0</v>
      </c>
      <c r="J36" s="481">
        <v>0</v>
      </c>
      <c r="K36" s="481">
        <v>0</v>
      </c>
    </row>
    <row r="37" spans="2:11">
      <c r="B37" s="233">
        <v>4</v>
      </c>
      <c r="C37" s="186" t="s">
        <v>136</v>
      </c>
      <c r="D37" s="195">
        <v>14</v>
      </c>
      <c r="E37" s="481">
        <f>('17.Facility 6 Horti Processing '!D148/365)*$D$37</f>
        <v>0</v>
      </c>
      <c r="F37" s="481">
        <f>('17.Facility 6 Horti Processing '!E148/365)*$D$37</f>
        <v>0</v>
      </c>
      <c r="G37" s="481">
        <f>('17.Facility 6 Horti Processing '!F148/365)*$D$37</f>
        <v>0</v>
      </c>
      <c r="H37" s="481">
        <f>('17.Facility 6 Horti Processing '!G148/365)*$D$37</f>
        <v>0</v>
      </c>
      <c r="I37" s="481">
        <f>('17.Facility 6 Horti Processing '!H148/365)*$D$37</f>
        <v>0</v>
      </c>
      <c r="J37" s="481">
        <f>('17.Facility 6 Horti Processing '!I148/365)*$D$37</f>
        <v>0</v>
      </c>
      <c r="K37" s="481">
        <f>('17.Facility 6 Horti Processing '!J148/365)*$D$37</f>
        <v>0</v>
      </c>
    </row>
    <row r="38" spans="2:11">
      <c r="B38" s="233">
        <v>5</v>
      </c>
      <c r="C38" s="186" t="s">
        <v>289</v>
      </c>
      <c r="D38" s="195">
        <v>30</v>
      </c>
      <c r="E38" s="481">
        <f>('14. Facility 3 Warehouse'!D23/365)*$D$38</f>
        <v>0</v>
      </c>
      <c r="F38" s="481">
        <f>('14. Facility 3 Warehouse'!E23/365)*$D$38</f>
        <v>0</v>
      </c>
      <c r="G38" s="481">
        <f>('14. Facility 3 Warehouse'!F23/365)*$D$38</f>
        <v>0</v>
      </c>
      <c r="H38" s="481">
        <f>('14. Facility 3 Warehouse'!G23/365)*$D$38</f>
        <v>0</v>
      </c>
      <c r="I38" s="481">
        <f>('14. Facility 3 Warehouse'!H23/365)*$D$38</f>
        <v>0</v>
      </c>
      <c r="J38" s="481">
        <f>('14. Facility 3 Warehouse'!I23/365)*$D$38</f>
        <v>0</v>
      </c>
      <c r="K38" s="481">
        <f>('14. Facility 3 Warehouse'!J23/365)*$D$38</f>
        <v>0</v>
      </c>
    </row>
    <row r="39" spans="2:11" ht="30">
      <c r="B39" s="233">
        <v>6</v>
      </c>
      <c r="C39" s="186" t="s">
        <v>926</v>
      </c>
      <c r="D39" s="195">
        <v>15</v>
      </c>
      <c r="E39" s="481">
        <f>+'13.Facility 2 Grain Processing-'!D89/24</f>
        <v>48.747111111111103</v>
      </c>
      <c r="F39" s="481">
        <f>+'13.Facility 2 Grain Processing-'!E89/365*10</f>
        <v>33.992416894977168</v>
      </c>
      <c r="G39" s="481">
        <f>+'13.Facility 2 Grain Processing-'!F89/365*10</f>
        <v>35.758891917808228</v>
      </c>
      <c r="H39" s="481">
        <f>+'13.Facility 2 Grain Processing-'!G89/365*10</f>
        <v>37.592702118721462</v>
      </c>
      <c r="I39" s="481">
        <f>+'13.Facility 2 Grain Processing-'!H89/365*10</f>
        <v>39.518465238356157</v>
      </c>
      <c r="J39" s="481">
        <f>+'13.Facility 2 Grain Processing-'!I89/365*10</f>
        <v>44.477718655707761</v>
      </c>
      <c r="K39" s="481">
        <f>+'13.Facility 2 Grain Processing-'!J89/365*10</f>
        <v>49.905655478867573</v>
      </c>
    </row>
    <row r="40" spans="2:11">
      <c r="B40" s="221"/>
      <c r="C40" s="184" t="s">
        <v>165</v>
      </c>
      <c r="D40" s="195"/>
      <c r="E40" s="481">
        <f t="shared" ref="E40:K40" si="8">SUM(E34:E39)</f>
        <v>48.747111111111103</v>
      </c>
      <c r="F40" s="481">
        <f t="shared" si="8"/>
        <v>33.992416894977168</v>
      </c>
      <c r="G40" s="481">
        <f t="shared" si="8"/>
        <v>35.758891917808228</v>
      </c>
      <c r="H40" s="481">
        <f t="shared" si="8"/>
        <v>37.592702118721462</v>
      </c>
      <c r="I40" s="481">
        <f t="shared" si="8"/>
        <v>39.518465238356157</v>
      </c>
      <c r="J40" s="481">
        <f t="shared" si="8"/>
        <v>44.477718655707761</v>
      </c>
      <c r="K40" s="481">
        <f t="shared" si="8"/>
        <v>49.905655478867573</v>
      </c>
    </row>
    <row r="41" spans="2:11">
      <c r="B41" s="318"/>
      <c r="C41" s="184"/>
      <c r="D41" s="317"/>
      <c r="E41" s="481"/>
      <c r="F41" s="481"/>
      <c r="G41" s="481"/>
      <c r="H41" s="481"/>
      <c r="I41" s="481"/>
      <c r="J41" s="481"/>
      <c r="K41" s="481"/>
    </row>
    <row r="42" spans="2:11">
      <c r="B42" s="183" t="s">
        <v>168</v>
      </c>
      <c r="C42" s="184" t="s">
        <v>333</v>
      </c>
      <c r="D42" s="195"/>
      <c r="E42" s="481">
        <f>'5.Closing Stock &amp; W Capital'!E21</f>
        <v>66.10733333333333</v>
      </c>
      <c r="F42" s="481">
        <f>'5.Closing Stock &amp; W Capital'!F21</f>
        <v>109.82976666666667</v>
      </c>
      <c r="G42" s="481">
        <f>'5.Closing Stock &amp; W Capital'!G21</f>
        <v>156.91657499999999</v>
      </c>
      <c r="H42" s="481">
        <f>'5.Closing Stock &amp; W Capital'!H21</f>
        <v>208.44056666666665</v>
      </c>
      <c r="I42" s="481">
        <f>'5.Closing Stock &amp; W Capital'!I21</f>
        <v>264.71705000000003</v>
      </c>
      <c r="J42" s="481">
        <f>'5.Closing Stock &amp; W Capital'!J21</f>
        <v>330.24986666666672</v>
      </c>
      <c r="K42" s="481">
        <f>'5.Closing Stock &amp; W Capital'!K21</f>
        <v>405.58716666666669</v>
      </c>
    </row>
    <row r="43" spans="2:11">
      <c r="B43" s="183"/>
      <c r="C43" s="186"/>
      <c r="D43" s="195"/>
      <c r="E43" s="481"/>
      <c r="F43" s="481"/>
      <c r="G43" s="481"/>
      <c r="H43" s="481"/>
      <c r="I43" s="481"/>
      <c r="J43" s="481"/>
      <c r="K43" s="481"/>
    </row>
    <row r="44" spans="2:11">
      <c r="B44" s="692" t="s">
        <v>1</v>
      </c>
      <c r="C44" s="693"/>
      <c r="D44" s="206"/>
      <c r="E44" s="482">
        <f>SUM(E40:E42)</f>
        <v>114.85444444444443</v>
      </c>
      <c r="F44" s="482">
        <f t="shared" ref="F44:K44" si="9">SUM(F40:F42)</f>
        <v>143.82218356164384</v>
      </c>
      <c r="G44" s="482">
        <f t="shared" si="9"/>
        <v>192.67546691780822</v>
      </c>
      <c r="H44" s="482">
        <f t="shared" si="9"/>
        <v>246.03326878538812</v>
      </c>
      <c r="I44" s="482">
        <f t="shared" si="9"/>
        <v>304.23551523835619</v>
      </c>
      <c r="J44" s="482">
        <f t="shared" si="9"/>
        <v>374.72758532237447</v>
      </c>
      <c r="K44" s="482">
        <f t="shared" si="9"/>
        <v>455.49282214553426</v>
      </c>
    </row>
    <row r="45" spans="2:11">
      <c r="B45" s="183"/>
      <c r="C45" s="184"/>
      <c r="D45" s="195"/>
      <c r="E45" s="481"/>
      <c r="F45" s="481"/>
      <c r="G45" s="481"/>
      <c r="H45" s="481"/>
      <c r="I45" s="481"/>
      <c r="J45" s="481"/>
      <c r="K45" s="481"/>
    </row>
    <row r="46" spans="2:11" ht="34.5" customHeight="1">
      <c r="B46" s="183" t="s">
        <v>169</v>
      </c>
      <c r="C46" s="186" t="s">
        <v>335</v>
      </c>
      <c r="D46" s="195"/>
      <c r="E46" s="481"/>
      <c r="F46" s="481"/>
      <c r="G46" s="481"/>
      <c r="H46" s="481"/>
      <c r="I46" s="481"/>
      <c r="J46" s="481"/>
      <c r="K46" s="481"/>
    </row>
    <row r="47" spans="2:11">
      <c r="B47" s="233">
        <v>1</v>
      </c>
      <c r="C47" s="186" t="str">
        <f t="shared" ref="C47:C52" si="10">C34</f>
        <v>Agri Input</v>
      </c>
      <c r="D47" s="195">
        <v>7</v>
      </c>
      <c r="E47" s="481">
        <v>0</v>
      </c>
      <c r="F47" s="481">
        <v>0</v>
      </c>
      <c r="G47" s="481">
        <v>0</v>
      </c>
      <c r="H47" s="481">
        <v>0</v>
      </c>
      <c r="I47" s="481">
        <v>0</v>
      </c>
      <c r="J47" s="481">
        <v>0</v>
      </c>
      <c r="K47" s="481">
        <v>0</v>
      </c>
    </row>
    <row r="48" spans="2:11">
      <c r="B48" s="233">
        <v>2</v>
      </c>
      <c r="C48" s="186" t="str">
        <f t="shared" si="10"/>
        <v>Custom Hiring</v>
      </c>
      <c r="D48" s="195">
        <v>7</v>
      </c>
      <c r="E48" s="481">
        <f>('15. Facility 4 Custom Hiring'!E49/365)*$D$49</f>
        <v>0</v>
      </c>
      <c r="F48" s="481">
        <f>('15. Facility 4 Custom Hiring'!F49/365)*$D$49</f>
        <v>0</v>
      </c>
      <c r="G48" s="481">
        <f>('15. Facility 4 Custom Hiring'!G49/365)*$D$49</f>
        <v>0</v>
      </c>
      <c r="H48" s="481">
        <f>('15. Facility 4 Custom Hiring'!H49/365)*$D$49</f>
        <v>0</v>
      </c>
      <c r="I48" s="481">
        <f>('15. Facility 4 Custom Hiring'!I49/365)*$D$49</f>
        <v>0</v>
      </c>
      <c r="J48" s="481">
        <f>('15. Facility 4 Custom Hiring'!J49/365)*$D$49</f>
        <v>0</v>
      </c>
      <c r="K48" s="481">
        <f>('15. Facility 4 Custom Hiring'!K49/365)*$D$49</f>
        <v>0</v>
      </c>
    </row>
    <row r="49" spans="2:12">
      <c r="B49" s="233">
        <v>3</v>
      </c>
      <c r="C49" s="186" t="str">
        <f t="shared" si="10"/>
        <v>Cleaning &amp; Grading</v>
      </c>
      <c r="D49" s="195">
        <v>7</v>
      </c>
      <c r="E49" s="481">
        <v>0</v>
      </c>
      <c r="F49" s="481">
        <v>0</v>
      </c>
      <c r="G49" s="481">
        <v>0</v>
      </c>
      <c r="H49" s="481">
        <v>0</v>
      </c>
      <c r="I49" s="481">
        <v>0</v>
      </c>
      <c r="J49" s="481">
        <v>0</v>
      </c>
      <c r="K49" s="481">
        <v>0</v>
      </c>
    </row>
    <row r="50" spans="2:12">
      <c r="B50" s="233">
        <v>4</v>
      </c>
      <c r="C50" s="186" t="str">
        <f t="shared" si="10"/>
        <v>Dal Mill</v>
      </c>
      <c r="D50" s="195">
        <v>7</v>
      </c>
      <c r="E50" s="481">
        <f>('17.Facility 6 Horti Processing '!D169/365)*$D$50</f>
        <v>0</v>
      </c>
      <c r="F50" s="481">
        <f>('17.Facility 6 Horti Processing '!E169/365)*$D$50</f>
        <v>0</v>
      </c>
      <c r="G50" s="481">
        <f>('17.Facility 6 Horti Processing '!F169/365)*$D$50</f>
        <v>0</v>
      </c>
      <c r="H50" s="481">
        <f>('17.Facility 6 Horti Processing '!G169/365)*$D$50</f>
        <v>0</v>
      </c>
      <c r="I50" s="481">
        <f>('17.Facility 6 Horti Processing '!H169/365)*$D$50</f>
        <v>0</v>
      </c>
      <c r="J50" s="481">
        <f>('17.Facility 6 Horti Processing '!I169/365)*$D$50</f>
        <v>0</v>
      </c>
      <c r="K50" s="481">
        <f>('17.Facility 6 Horti Processing '!J169/365)*$D$50</f>
        <v>0</v>
      </c>
    </row>
    <row r="51" spans="2:12">
      <c r="B51" s="233">
        <v>5</v>
      </c>
      <c r="C51" s="186" t="str">
        <f t="shared" si="10"/>
        <v>Warehouse</v>
      </c>
      <c r="D51" s="195">
        <v>7</v>
      </c>
      <c r="E51" s="481">
        <f>('14. Facility 3 Warehouse'!D34/365)*$D$51</f>
        <v>0</v>
      </c>
      <c r="F51" s="481">
        <f>('14. Facility 3 Warehouse'!E34/365)*$D$51</f>
        <v>0</v>
      </c>
      <c r="G51" s="481">
        <f>('14. Facility 3 Warehouse'!F34/365)*$D$51</f>
        <v>0</v>
      </c>
      <c r="H51" s="481">
        <f>('14. Facility 3 Warehouse'!G34/365)*$D$51</f>
        <v>0</v>
      </c>
      <c r="I51" s="481">
        <f>('14. Facility 3 Warehouse'!H34/365)*$D$51</f>
        <v>0</v>
      </c>
      <c r="J51" s="481">
        <f>('14. Facility 3 Warehouse'!I34/365)*$D$51</f>
        <v>0</v>
      </c>
      <c r="K51" s="481">
        <f>('14. Facility 3 Warehouse'!J34/365)*$D$51</f>
        <v>0</v>
      </c>
    </row>
    <row r="52" spans="2:12" ht="30">
      <c r="B52" s="233"/>
      <c r="C52" s="186" t="str">
        <f t="shared" si="10"/>
        <v>Processing Unit - Cleaning Grading</v>
      </c>
      <c r="D52" s="195">
        <v>30</v>
      </c>
      <c r="E52" s="481">
        <f>+(+SUM('13.Facility 2 Grain Processing-'!D97:D106)+'13.Facility 2 Grain Processing-'!D121+'3.Other Exp &amp; Taxes'!C18)/12</f>
        <v>98.058679999999995</v>
      </c>
      <c r="F52" s="481">
        <f>+(+SUM('13.Facility 2 Grain Processing-'!E97:E106)+'13.Facility 2 Grain Processing-'!E121+'3.Other Exp &amp; Taxes'!D18)/12</f>
        <v>101.3098726875</v>
      </c>
      <c r="G52" s="481">
        <f>+(+SUM('13.Facility 2 Grain Processing-'!F97:F106)+'13.Facility 2 Grain Processing-'!F121+'3.Other Exp &amp; Taxes'!E18)/12</f>
        <v>106.24151230104167</v>
      </c>
      <c r="H52" s="481">
        <f>+(+SUM('13.Facility 2 Grain Processing-'!G97:G106)+'13.Facility 2 Grain Processing-'!G121+'3.Other Exp &amp; Taxes'!F18)/12</f>
        <v>111.4238114369271</v>
      </c>
      <c r="I52" s="481">
        <f>+(+SUM('13.Facility 2 Grain Processing-'!H97:H106)+'13.Facility 2 Grain Processing-'!H121+'3.Other Exp &amp; Taxes'!G18)/12</f>
        <v>116.86040052960676</v>
      </c>
      <c r="J52" s="481">
        <f>+(+SUM('13.Facility 2 Grain Processing-'!I97:I106)+'13.Facility 2 Grain Processing-'!I121+'3.Other Exp &amp; Taxes'!H18)/12</f>
        <v>131.2754269935871</v>
      </c>
      <c r="K52" s="481">
        <f>+(+SUM('13.Facility 2 Grain Processing-'!J97:J106)+'13.Facility 2 Grain Processing-'!J121+'3.Other Exp &amp; Taxes'!I18)/12</f>
        <v>146.86173896826651</v>
      </c>
    </row>
    <row r="53" spans="2:12">
      <c r="B53" s="233"/>
      <c r="C53" s="186"/>
      <c r="D53" s="195"/>
      <c r="E53" s="481"/>
      <c r="F53" s="481"/>
      <c r="G53" s="481"/>
      <c r="H53" s="481"/>
      <c r="I53" s="481"/>
      <c r="J53" s="481"/>
      <c r="K53" s="481"/>
    </row>
    <row r="54" spans="2:12">
      <c r="B54" s="178"/>
      <c r="C54" s="184" t="s">
        <v>1</v>
      </c>
      <c r="D54" s="195"/>
      <c r="E54" s="482">
        <f>SUM(E47:E53)</f>
        <v>98.058679999999995</v>
      </c>
      <c r="F54" s="482">
        <f t="shared" ref="F54:K54" si="11">SUM(F47:F53)</f>
        <v>101.3098726875</v>
      </c>
      <c r="G54" s="482">
        <f t="shared" si="11"/>
        <v>106.24151230104167</v>
      </c>
      <c r="H54" s="482">
        <f t="shared" si="11"/>
        <v>111.4238114369271</v>
      </c>
      <c r="I54" s="482">
        <f t="shared" si="11"/>
        <v>116.86040052960676</v>
      </c>
      <c r="J54" s="482">
        <f t="shared" si="11"/>
        <v>131.2754269935871</v>
      </c>
      <c r="K54" s="482">
        <f t="shared" si="11"/>
        <v>146.86173896826651</v>
      </c>
    </row>
    <row r="55" spans="2:12">
      <c r="B55" s="183" t="s">
        <v>170</v>
      </c>
      <c r="C55" s="184" t="s">
        <v>152</v>
      </c>
      <c r="D55" s="195"/>
      <c r="E55" s="482">
        <f>E44-E54</f>
        <v>16.79576444444443</v>
      </c>
      <c r="F55" s="482">
        <f t="shared" ref="F55:K55" si="12">F44-F54</f>
        <v>42.512310874143836</v>
      </c>
      <c r="G55" s="482">
        <f t="shared" si="12"/>
        <v>86.433954616766556</v>
      </c>
      <c r="H55" s="482">
        <f t="shared" si="12"/>
        <v>134.60945734846104</v>
      </c>
      <c r="I55" s="482">
        <f t="shared" si="12"/>
        <v>187.37511470874944</v>
      </c>
      <c r="J55" s="482">
        <f t="shared" si="12"/>
        <v>243.45215832878736</v>
      </c>
      <c r="K55" s="482">
        <f t="shared" si="12"/>
        <v>308.63108317726778</v>
      </c>
    </row>
    <row r="56" spans="2:12" ht="42.75">
      <c r="B56" s="318"/>
      <c r="C56" s="184" t="s">
        <v>793</v>
      </c>
      <c r="D56" s="483">
        <v>0.75</v>
      </c>
      <c r="E56" s="482">
        <f>+E55*$D$56</f>
        <v>12.596823333333322</v>
      </c>
      <c r="F56" s="482">
        <f t="shared" ref="F56:K56" si="13">+F55*$D$56</f>
        <v>31.884233155607877</v>
      </c>
      <c r="G56" s="482">
        <f t="shared" si="13"/>
        <v>64.825465962574924</v>
      </c>
      <c r="H56" s="482">
        <f t="shared" si="13"/>
        <v>100.95709301134578</v>
      </c>
      <c r="I56" s="482">
        <f t="shared" si="13"/>
        <v>140.53133603156209</v>
      </c>
      <c r="J56" s="482">
        <f t="shared" si="13"/>
        <v>182.58911874659051</v>
      </c>
      <c r="K56" s="482">
        <f t="shared" si="13"/>
        <v>231.47331238295084</v>
      </c>
    </row>
    <row r="57" spans="2:12">
      <c r="B57" s="183"/>
      <c r="C57" s="184" t="s">
        <v>130</v>
      </c>
      <c r="D57" s="240">
        <v>0.25</v>
      </c>
      <c r="E57" s="482">
        <f>+E55*$D$57</f>
        <v>4.1989411111111075</v>
      </c>
      <c r="F57" s="482">
        <f t="shared" ref="F57:K57" si="14">+F55*$D$57</f>
        <v>10.628077718535959</v>
      </c>
      <c r="G57" s="482">
        <f t="shared" si="14"/>
        <v>21.608488654191639</v>
      </c>
      <c r="H57" s="482">
        <f t="shared" si="14"/>
        <v>33.652364337115259</v>
      </c>
      <c r="I57" s="482">
        <f t="shared" si="14"/>
        <v>46.843778677187359</v>
      </c>
      <c r="J57" s="482">
        <f t="shared" si="14"/>
        <v>60.863039582196841</v>
      </c>
      <c r="K57" s="482">
        <f t="shared" si="14"/>
        <v>77.157770794316946</v>
      </c>
    </row>
    <row r="59" spans="2:12">
      <c r="E59" s="27"/>
    </row>
    <row r="60" spans="2:12" ht="36.950000000000003" customHeight="1">
      <c r="B60" s="689" t="s">
        <v>394</v>
      </c>
      <c r="C60" s="689"/>
      <c r="D60" s="689"/>
      <c r="E60" s="689"/>
      <c r="F60" s="689"/>
      <c r="G60" s="689"/>
      <c r="H60" s="689"/>
      <c r="I60" s="689"/>
      <c r="J60" s="689"/>
      <c r="K60" s="689"/>
      <c r="L60" s="604"/>
    </row>
    <row r="61" spans="2:12">
      <c r="B61" t="s">
        <v>483</v>
      </c>
    </row>
    <row r="62" spans="2:12">
      <c r="B62">
        <v>1</v>
      </c>
      <c r="C62" t="s">
        <v>802</v>
      </c>
    </row>
    <row r="63" spans="2:12">
      <c r="B63">
        <v>2</v>
      </c>
      <c r="C63" t="s">
        <v>803</v>
      </c>
    </row>
    <row r="64" spans="2:12">
      <c r="B64">
        <v>3</v>
      </c>
      <c r="C64" t="s">
        <v>804</v>
      </c>
    </row>
    <row r="69" spans="3:14">
      <c r="C69" s="323" t="s">
        <v>716</v>
      </c>
      <c r="D69" s="323" t="s">
        <v>0</v>
      </c>
      <c r="E69" s="323" t="s">
        <v>2</v>
      </c>
      <c r="F69" s="323" t="s">
        <v>3</v>
      </c>
      <c r="G69" s="323" t="s">
        <v>4</v>
      </c>
      <c r="H69" s="323" t="s">
        <v>5</v>
      </c>
      <c r="I69" s="323" t="s">
        <v>6</v>
      </c>
      <c r="J69" s="323" t="s">
        <v>163</v>
      </c>
      <c r="K69" s="323" t="s">
        <v>162</v>
      </c>
      <c r="L69" s="323" t="s">
        <v>649</v>
      </c>
      <c r="M69" s="323" t="s">
        <v>650</v>
      </c>
      <c r="N69" s="323" t="s">
        <v>651</v>
      </c>
    </row>
    <row r="70" spans="3:14">
      <c r="C70" s="330"/>
      <c r="D70" s="330"/>
      <c r="E70" s="330"/>
      <c r="F70" s="330"/>
      <c r="G70" s="330"/>
      <c r="H70" s="330"/>
      <c r="I70" s="330"/>
      <c r="J70" s="314"/>
      <c r="K70" s="314"/>
      <c r="L70" s="314"/>
      <c r="M70" s="314"/>
      <c r="N70" s="314"/>
    </row>
    <row r="71" spans="3:14">
      <c r="C71" s="385">
        <v>1</v>
      </c>
      <c r="D71" s="330" t="s">
        <v>717</v>
      </c>
      <c r="E71" s="386">
        <v>0</v>
      </c>
      <c r="F71" s="386">
        <v>0</v>
      </c>
      <c r="G71" s="386">
        <v>0</v>
      </c>
      <c r="H71" s="386">
        <v>0</v>
      </c>
      <c r="I71" s="386">
        <v>0</v>
      </c>
      <c r="J71" s="386">
        <v>0</v>
      </c>
      <c r="K71" s="386">
        <v>0</v>
      </c>
      <c r="L71" s="386">
        <v>0</v>
      </c>
      <c r="M71" s="386">
        <v>0</v>
      </c>
      <c r="N71" s="386">
        <v>0</v>
      </c>
    </row>
    <row r="72" spans="3:14">
      <c r="C72" s="385">
        <v>2</v>
      </c>
      <c r="D72" s="330" t="s">
        <v>718</v>
      </c>
      <c r="E72" s="386">
        <v>0</v>
      </c>
      <c r="F72" s="386">
        <v>0</v>
      </c>
      <c r="G72" s="386">
        <v>0</v>
      </c>
      <c r="H72" s="386">
        <v>0</v>
      </c>
      <c r="I72" s="386">
        <v>0</v>
      </c>
      <c r="J72" s="386">
        <v>0</v>
      </c>
      <c r="K72" s="386">
        <v>0</v>
      </c>
      <c r="L72" s="386">
        <v>0</v>
      </c>
      <c r="M72" s="386">
        <v>0</v>
      </c>
      <c r="N72" s="386">
        <v>0</v>
      </c>
    </row>
    <row r="73" spans="3:14">
      <c r="C73" s="385">
        <v>3</v>
      </c>
      <c r="D73" s="330" t="s">
        <v>719</v>
      </c>
      <c r="E73" s="387">
        <v>0</v>
      </c>
      <c r="F73" s="387">
        <v>0</v>
      </c>
      <c r="G73" s="387">
        <v>0</v>
      </c>
      <c r="H73" s="387">
        <v>0</v>
      </c>
      <c r="I73" s="387">
        <v>0</v>
      </c>
      <c r="J73" s="387">
        <v>0</v>
      </c>
      <c r="K73" s="387">
        <v>0</v>
      </c>
      <c r="L73" s="387">
        <v>0</v>
      </c>
      <c r="M73" s="387">
        <v>0</v>
      </c>
      <c r="N73" s="387">
        <v>0</v>
      </c>
    </row>
    <row r="74" spans="3:14">
      <c r="C74" s="387"/>
      <c r="D74" s="330"/>
      <c r="E74" s="387"/>
      <c r="F74" s="387"/>
      <c r="G74" s="387"/>
      <c r="H74" s="387"/>
      <c r="I74" s="387"/>
      <c r="J74" s="387"/>
      <c r="K74" s="387"/>
      <c r="L74" s="314"/>
      <c r="M74" s="314"/>
      <c r="N74" s="314"/>
    </row>
    <row r="75" spans="3:14">
      <c r="C75" s="388"/>
      <c r="D75" s="330" t="s">
        <v>720</v>
      </c>
      <c r="E75" s="389">
        <f t="shared" ref="E75:N75" si="15">E71+E72-E73</f>
        <v>0</v>
      </c>
      <c r="F75" s="389">
        <f t="shared" si="15"/>
        <v>0</v>
      </c>
      <c r="G75" s="389">
        <f t="shared" si="15"/>
        <v>0</v>
      </c>
      <c r="H75" s="389">
        <f t="shared" si="15"/>
        <v>0</v>
      </c>
      <c r="I75" s="389">
        <f t="shared" si="15"/>
        <v>0</v>
      </c>
      <c r="J75" s="389">
        <f t="shared" si="15"/>
        <v>0</v>
      </c>
      <c r="K75" s="389">
        <f t="shared" si="15"/>
        <v>0</v>
      </c>
      <c r="L75" s="389">
        <f t="shared" si="15"/>
        <v>0</v>
      </c>
      <c r="M75" s="389">
        <f t="shared" si="15"/>
        <v>0</v>
      </c>
      <c r="N75" s="389">
        <f t="shared" si="15"/>
        <v>0</v>
      </c>
    </row>
    <row r="76" spans="3:14">
      <c r="C76" s="388"/>
      <c r="D76" s="330"/>
      <c r="E76" s="387"/>
      <c r="F76" s="387"/>
      <c r="G76" s="387"/>
      <c r="H76" s="387"/>
      <c r="I76" s="387"/>
      <c r="J76" s="387"/>
      <c r="K76" s="387"/>
      <c r="L76" s="314"/>
      <c r="M76" s="314"/>
      <c r="N76" s="314"/>
    </row>
    <row r="77" spans="3:14">
      <c r="C77" s="388"/>
      <c r="D77" s="330"/>
      <c r="E77" s="387"/>
      <c r="F77" s="387"/>
      <c r="G77" s="387"/>
      <c r="H77" s="387"/>
      <c r="I77" s="387"/>
      <c r="J77" s="387"/>
      <c r="K77" s="387"/>
      <c r="L77" s="314"/>
      <c r="M77" s="314"/>
      <c r="N77" s="314"/>
    </row>
    <row r="78" spans="3:14" ht="75">
      <c r="C78" s="390"/>
      <c r="D78" s="391" t="s">
        <v>721</v>
      </c>
      <c r="E78" s="392">
        <f>E71+E72-E73</f>
        <v>0</v>
      </c>
      <c r="F78" s="392">
        <f t="shared" ref="F78:N78" si="16">F71+F72-F73</f>
        <v>0</v>
      </c>
      <c r="G78" s="392">
        <f t="shared" si="16"/>
        <v>0</v>
      </c>
      <c r="H78" s="392">
        <f t="shared" si="16"/>
        <v>0</v>
      </c>
      <c r="I78" s="392">
        <f t="shared" si="16"/>
        <v>0</v>
      </c>
      <c r="J78" s="392">
        <f t="shared" si="16"/>
        <v>0</v>
      </c>
      <c r="K78" s="392">
        <f t="shared" si="16"/>
        <v>0</v>
      </c>
      <c r="L78" s="392">
        <f t="shared" si="16"/>
        <v>0</v>
      </c>
      <c r="M78" s="392">
        <f t="shared" si="16"/>
        <v>0</v>
      </c>
      <c r="N78" s="392">
        <f t="shared" si="16"/>
        <v>0</v>
      </c>
    </row>
    <row r="79" spans="3:14">
      <c r="C79" s="388"/>
      <c r="D79" s="330"/>
      <c r="E79" s="330"/>
      <c r="F79" s="330"/>
      <c r="G79" s="330"/>
      <c r="H79" s="330"/>
      <c r="I79" s="330"/>
      <c r="J79" s="314"/>
      <c r="K79" s="314"/>
      <c r="L79" s="314"/>
      <c r="M79" s="314"/>
      <c r="N79" s="314"/>
    </row>
    <row r="80" spans="3:14">
      <c r="C80" s="388"/>
      <c r="D80" s="330" t="s">
        <v>722</v>
      </c>
      <c r="E80" s="389">
        <f>E78*0.25</f>
        <v>0</v>
      </c>
      <c r="F80" s="389">
        <f t="shared" ref="F80:N80" si="17">F78*0.25</f>
        <v>0</v>
      </c>
      <c r="G80" s="389">
        <f t="shared" si="17"/>
        <v>0</v>
      </c>
      <c r="H80" s="389">
        <f t="shared" si="17"/>
        <v>0</v>
      </c>
      <c r="I80" s="389">
        <f t="shared" si="17"/>
        <v>0</v>
      </c>
      <c r="J80" s="389">
        <f t="shared" si="17"/>
        <v>0</v>
      </c>
      <c r="K80" s="389">
        <f t="shared" si="17"/>
        <v>0</v>
      </c>
      <c r="L80" s="389">
        <f t="shared" si="17"/>
        <v>0</v>
      </c>
      <c r="M80" s="389">
        <f t="shared" si="17"/>
        <v>0</v>
      </c>
      <c r="N80" s="389">
        <f t="shared" si="17"/>
        <v>0</v>
      </c>
    </row>
    <row r="81" spans="3:14">
      <c r="C81" s="388"/>
      <c r="D81" s="330"/>
      <c r="E81" s="330"/>
      <c r="F81" s="330"/>
      <c r="G81" s="330"/>
      <c r="H81" s="330"/>
      <c r="I81" s="330"/>
      <c r="J81" s="314"/>
      <c r="K81" s="314"/>
      <c r="L81" s="314"/>
      <c r="M81" s="314"/>
      <c r="N81" s="314"/>
    </row>
    <row r="82" spans="3:14" ht="60">
      <c r="C82" s="388"/>
      <c r="D82" s="393" t="s">
        <v>723</v>
      </c>
      <c r="E82" s="389">
        <f>E78-E80</f>
        <v>0</v>
      </c>
      <c r="F82" s="389">
        <f t="shared" ref="F82:N82" si="18">F78-F80</f>
        <v>0</v>
      </c>
      <c r="G82" s="389">
        <f t="shared" si="18"/>
        <v>0</v>
      </c>
      <c r="H82" s="389">
        <f t="shared" si="18"/>
        <v>0</v>
      </c>
      <c r="I82" s="389">
        <f t="shared" si="18"/>
        <v>0</v>
      </c>
      <c r="J82" s="389">
        <f t="shared" si="18"/>
        <v>0</v>
      </c>
      <c r="K82" s="389">
        <f t="shared" si="18"/>
        <v>0</v>
      </c>
      <c r="L82" s="389">
        <f t="shared" si="18"/>
        <v>0</v>
      </c>
      <c r="M82" s="389">
        <f t="shared" si="18"/>
        <v>0</v>
      </c>
      <c r="N82" s="389">
        <f t="shared" si="18"/>
        <v>0</v>
      </c>
    </row>
  </sheetData>
  <mergeCells count="13">
    <mergeCell ref="C2:K2"/>
    <mergeCell ref="N5:R5"/>
    <mergeCell ref="B28:K28"/>
    <mergeCell ref="B30:B31"/>
    <mergeCell ref="C30:C31"/>
    <mergeCell ref="D30:D31"/>
    <mergeCell ref="E30:K30"/>
    <mergeCell ref="C23:K23"/>
    <mergeCell ref="B60:K60"/>
    <mergeCell ref="N6:R6"/>
    <mergeCell ref="U5:V5"/>
    <mergeCell ref="U6:V6"/>
    <mergeCell ref="B44:C44"/>
  </mergeCells>
  <pageMargins left="0.7" right="0.7" top="0.75" bottom="0.75" header="0.3" footer="0.3"/>
  <pageSetup paperSize="9" scale="54" orientation="portrait" horizont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6"/>
  <sheetViews>
    <sheetView view="pageBreakPreview" topLeftCell="A32" zoomScale="85" zoomScaleSheetLayoutView="85" workbookViewId="0">
      <selection activeCell="A62" sqref="A5:H62"/>
    </sheetView>
  </sheetViews>
  <sheetFormatPr defaultColWidth="9.140625" defaultRowHeight="15"/>
  <cols>
    <col min="1" max="1" width="40.5703125" style="363" bestFit="1" customWidth="1"/>
    <col min="2" max="8" width="11" style="363" customWidth="1"/>
    <col min="9" max="9" width="8.5703125" style="363" customWidth="1"/>
    <col min="10" max="10" width="10.140625" style="363" bestFit="1" customWidth="1"/>
    <col min="11" max="11" width="9.5703125" style="363" bestFit="1" customWidth="1"/>
    <col min="12" max="16384" width="9.140625" style="363"/>
  </cols>
  <sheetData>
    <row r="2" spans="1:11" ht="18.75">
      <c r="A2" s="699" t="s">
        <v>502</v>
      </c>
      <c r="B2" s="699"/>
      <c r="C2" s="699"/>
      <c r="D2" s="699"/>
      <c r="E2" s="699"/>
      <c r="F2" s="699"/>
      <c r="G2" s="699"/>
      <c r="H2" s="699"/>
    </row>
    <row r="5" spans="1:11">
      <c r="A5" s="394" t="s">
        <v>0</v>
      </c>
      <c r="B5" s="395" t="s">
        <v>2</v>
      </c>
      <c r="C5" s="395" t="s">
        <v>3</v>
      </c>
      <c r="D5" s="395" t="s">
        <v>4</v>
      </c>
      <c r="E5" s="395" t="s">
        <v>5</v>
      </c>
      <c r="F5" s="395" t="s">
        <v>6</v>
      </c>
      <c r="G5" s="395" t="s">
        <v>163</v>
      </c>
      <c r="H5" s="395" t="s">
        <v>162</v>
      </c>
    </row>
    <row r="6" spans="1:11">
      <c r="A6" s="396" t="s">
        <v>124</v>
      </c>
      <c r="B6" s="361"/>
      <c r="C6" s="361"/>
      <c r="D6" s="361"/>
      <c r="E6" s="361"/>
      <c r="F6" s="361"/>
      <c r="G6" s="361"/>
      <c r="H6" s="361"/>
    </row>
    <row r="7" spans="1:11">
      <c r="A7" s="361"/>
      <c r="B7" s="361"/>
      <c r="C7" s="361"/>
      <c r="D7" s="361"/>
      <c r="E7" s="361"/>
      <c r="F7" s="361"/>
      <c r="G7" s="361"/>
      <c r="H7" s="361"/>
    </row>
    <row r="8" spans="1:11">
      <c r="A8" s="361" t="s">
        <v>463</v>
      </c>
      <c r="B8" s="360">
        <v>0</v>
      </c>
      <c r="C8" s="360">
        <v>0</v>
      </c>
      <c r="D8" s="360">
        <v>0</v>
      </c>
      <c r="E8" s="360">
        <v>0</v>
      </c>
      <c r="F8" s="360">
        <v>0</v>
      </c>
      <c r="G8" s="360">
        <v>0</v>
      </c>
      <c r="H8" s="360">
        <v>0</v>
      </c>
    </row>
    <row r="9" spans="1:11">
      <c r="A9" s="361" t="s">
        <v>475</v>
      </c>
      <c r="B9" s="360">
        <f>'17.Facility 6 Horti Processing '!D148</f>
        <v>0</v>
      </c>
      <c r="C9" s="360">
        <f>'17.Facility 6 Horti Processing '!E148</f>
        <v>0</v>
      </c>
      <c r="D9" s="360">
        <f>'17.Facility 6 Horti Processing '!F148</f>
        <v>0</v>
      </c>
      <c r="E9" s="360">
        <f>'17.Facility 6 Horti Processing '!G148</f>
        <v>0</v>
      </c>
      <c r="F9" s="360">
        <f>'17.Facility 6 Horti Processing '!H148</f>
        <v>0</v>
      </c>
      <c r="G9" s="360">
        <f>'17.Facility 6 Horti Processing '!I148</f>
        <v>0</v>
      </c>
      <c r="H9" s="360">
        <f>'17.Facility 6 Horti Processing '!J148</f>
        <v>0</v>
      </c>
    </row>
    <row r="10" spans="1:11">
      <c r="A10" s="361" t="s">
        <v>464</v>
      </c>
      <c r="B10" s="360">
        <f>'14. Facility 3 Warehouse'!D23</f>
        <v>0</v>
      </c>
      <c r="C10" s="360">
        <f>'14. Facility 3 Warehouse'!E23</f>
        <v>0</v>
      </c>
      <c r="D10" s="360">
        <f>'14. Facility 3 Warehouse'!F23</f>
        <v>0</v>
      </c>
      <c r="E10" s="360">
        <f>'14. Facility 3 Warehouse'!G23</f>
        <v>0</v>
      </c>
      <c r="F10" s="360">
        <f>'14. Facility 3 Warehouse'!H23</f>
        <v>0</v>
      </c>
      <c r="G10" s="360">
        <f>'14. Facility 3 Warehouse'!I23</f>
        <v>0</v>
      </c>
      <c r="H10" s="360">
        <f>'14. Facility 3 Warehouse'!J23</f>
        <v>0</v>
      </c>
    </row>
    <row r="11" spans="1:11">
      <c r="A11" s="361" t="s">
        <v>465</v>
      </c>
      <c r="B11" s="360">
        <f>'15. Facility 4 Custom Hiring'!E39</f>
        <v>0</v>
      </c>
      <c r="C11" s="360">
        <f>'15. Facility 4 Custom Hiring'!F39</f>
        <v>0</v>
      </c>
      <c r="D11" s="360">
        <f>'15. Facility 4 Custom Hiring'!G39</f>
        <v>0</v>
      </c>
      <c r="E11" s="360">
        <f>'15. Facility 4 Custom Hiring'!H39</f>
        <v>0</v>
      </c>
      <c r="F11" s="360">
        <f>'15. Facility 4 Custom Hiring'!I39</f>
        <v>0</v>
      </c>
      <c r="G11" s="360">
        <f>'15. Facility 4 Custom Hiring'!J39</f>
        <v>0</v>
      </c>
      <c r="H11" s="360">
        <f>'15. Facility 4 Custom Hiring'!K39</f>
        <v>0</v>
      </c>
    </row>
    <row r="12" spans="1:11">
      <c r="A12" s="361" t="s">
        <v>462</v>
      </c>
      <c r="B12" s="360">
        <v>0</v>
      </c>
      <c r="C12" s="360">
        <v>0</v>
      </c>
      <c r="D12" s="360">
        <v>0</v>
      </c>
      <c r="E12" s="360">
        <v>0</v>
      </c>
      <c r="F12" s="360">
        <v>0</v>
      </c>
      <c r="G12" s="360">
        <v>0</v>
      </c>
      <c r="H12" s="360">
        <v>0</v>
      </c>
      <c r="K12" s="361" t="s">
        <v>475</v>
      </c>
    </row>
    <row r="13" spans="1:11">
      <c r="A13" s="361" t="s">
        <v>917</v>
      </c>
      <c r="B13" s="360">
        <f>+'13.Facility 2 Grain Processing-'!D85</f>
        <v>1119.6986666666664</v>
      </c>
      <c r="C13" s="360">
        <f>+'13.Facility 2 Grain Processing-'!E85</f>
        <v>1186.4256166666667</v>
      </c>
      <c r="D13" s="360">
        <f>+'13.Facility 2 Grain Processing-'!F85</f>
        <v>1246.5742750000002</v>
      </c>
      <c r="E13" s="360">
        <f>+'13.Facility 2 Grain Processing-'!G85</f>
        <v>1308.9138833333334</v>
      </c>
      <c r="F13" s="360">
        <f>+'13.Facility 2 Grain Processing-'!H85</f>
        <v>1374.3380499999998</v>
      </c>
      <c r="G13" s="360">
        <f>+'13.Facility 2 Grain Processing-'!I85</f>
        <v>1544.8570583333335</v>
      </c>
      <c r="H13" s="360">
        <f>+'13.Facility 2 Grain Processing-'!J85</f>
        <v>1731.6655916666664</v>
      </c>
    </row>
    <row r="14" spans="1:11">
      <c r="A14" s="361" t="s">
        <v>724</v>
      </c>
      <c r="B14" s="360">
        <f>+'13.Facility 2 Grain Processing-'!D83</f>
        <v>37.631999999999998</v>
      </c>
      <c r="C14" s="360">
        <f>+'13.Facility 2 Grain Processing-'!E83</f>
        <v>39.513599999999997</v>
      </c>
      <c r="D14" s="360">
        <f>+'13.Facility 2 Grain Processing-'!F83</f>
        <v>41.489280000000001</v>
      </c>
      <c r="E14" s="360">
        <f>+'13.Facility 2 Grain Processing-'!G83</f>
        <v>43.563744000000007</v>
      </c>
      <c r="F14" s="360">
        <f>+'13.Facility 2 Grain Processing-'!H83</f>
        <v>45.74193120000001</v>
      </c>
      <c r="G14" s="360">
        <f>+'13.Facility 2 Grain Processing-'!I83</f>
        <v>51.459672600000019</v>
      </c>
      <c r="H14" s="360">
        <f>+'13.Facility 2 Grain Processing-'!J83</f>
        <v>57.634833312000019</v>
      </c>
    </row>
    <row r="15" spans="1:11">
      <c r="A15" s="361" t="s">
        <v>725</v>
      </c>
      <c r="B15" s="360">
        <f>+'13.Facility 2 Grain Processing-'!D86</f>
        <v>0</v>
      </c>
      <c r="C15" s="360">
        <f>+'13.Facility 2 Grain Processing-'!E86</f>
        <v>0</v>
      </c>
      <c r="D15" s="360">
        <f>+'13.Facility 2 Grain Processing-'!F86</f>
        <v>0</v>
      </c>
      <c r="E15" s="360">
        <f>+'13.Facility 2 Grain Processing-'!G86</f>
        <v>0</v>
      </c>
      <c r="F15" s="360">
        <f>+'13.Facility 2 Grain Processing-'!H86</f>
        <v>0</v>
      </c>
      <c r="G15" s="360">
        <f>+'13.Facility 2 Grain Processing-'!I86</f>
        <v>0</v>
      </c>
      <c r="H15" s="360">
        <f>+'13.Facility 2 Grain Processing-'!J86</f>
        <v>0</v>
      </c>
    </row>
    <row r="16" spans="1:11">
      <c r="A16" s="361"/>
      <c r="B16" s="360"/>
      <c r="C16" s="360"/>
      <c r="D16" s="360"/>
      <c r="E16" s="360"/>
      <c r="F16" s="360"/>
      <c r="G16" s="360"/>
      <c r="H16" s="360"/>
    </row>
    <row r="17" spans="1:8">
      <c r="A17" s="361" t="s">
        <v>788</v>
      </c>
      <c r="B17" s="360">
        <f>+'13.Facility 2 Grain Processing-'!C350</f>
        <v>0</v>
      </c>
      <c r="C17" s="360">
        <f>+'13.Facility 2 Grain Processing-'!D350</f>
        <v>48.662333333333329</v>
      </c>
      <c r="D17" s="360">
        <f>+'13.Facility 2 Grain Processing-'!E350</f>
        <v>91.511866666666677</v>
      </c>
      <c r="E17" s="360">
        <f>+'13.Facility 2 Grain Processing-'!F350</f>
        <v>137.682975</v>
      </c>
      <c r="F17" s="360">
        <f>+'13.Facility 2 Grain Processing-'!G350</f>
        <v>188.24396666666667</v>
      </c>
      <c r="G17" s="360">
        <f>+'13.Facility 2 Grain Processing-'!H350</f>
        <v>243.51015000000001</v>
      </c>
      <c r="H17" s="360">
        <f>+'13.Facility 2 Grain Processing-'!I350</f>
        <v>307.98156666666671</v>
      </c>
    </row>
    <row r="18" spans="1:8">
      <c r="A18" s="361" t="s">
        <v>789</v>
      </c>
      <c r="B18" s="360">
        <f>+'13.Facility 2 Grain Processing-'!C351</f>
        <v>48.662333333333329</v>
      </c>
      <c r="C18" s="360">
        <f>+'13.Facility 2 Grain Processing-'!D351</f>
        <v>91.511866666666677</v>
      </c>
      <c r="D18" s="360">
        <f>+'13.Facility 2 Grain Processing-'!E351</f>
        <v>137.682975</v>
      </c>
      <c r="E18" s="360">
        <f>+'13.Facility 2 Grain Processing-'!F351</f>
        <v>188.24396666666667</v>
      </c>
      <c r="F18" s="360">
        <f>+'13.Facility 2 Grain Processing-'!G351</f>
        <v>243.51015000000001</v>
      </c>
      <c r="G18" s="360">
        <f>+'13.Facility 2 Grain Processing-'!H351</f>
        <v>307.98156666666671</v>
      </c>
      <c r="H18" s="360">
        <f>+'13.Facility 2 Grain Processing-'!I351</f>
        <v>382.20636666666667</v>
      </c>
    </row>
    <row r="19" spans="1:8">
      <c r="A19" s="396" t="s">
        <v>138</v>
      </c>
      <c r="B19" s="397">
        <f>+SUM(B8:B15)+B18-B17</f>
        <v>1205.9929999999999</v>
      </c>
      <c r="C19" s="397">
        <f t="shared" ref="C19:H19" si="0">+SUM(C8:C15)+C18-C17</f>
        <v>1268.7887499999999</v>
      </c>
      <c r="D19" s="397">
        <f t="shared" si="0"/>
        <v>1334.2346633333334</v>
      </c>
      <c r="E19" s="397">
        <f t="shared" si="0"/>
        <v>1403.0386190000002</v>
      </c>
      <c r="F19" s="397">
        <f t="shared" si="0"/>
        <v>1475.3461645333332</v>
      </c>
      <c r="G19" s="397">
        <f t="shared" si="0"/>
        <v>1660.7881476000002</v>
      </c>
      <c r="H19" s="397">
        <f t="shared" si="0"/>
        <v>1863.5252249786663</v>
      </c>
    </row>
    <row r="20" spans="1:8">
      <c r="A20" s="361"/>
      <c r="B20" s="360"/>
      <c r="C20" s="360"/>
      <c r="D20" s="360"/>
      <c r="E20" s="360"/>
      <c r="F20" s="360"/>
      <c r="G20" s="360"/>
      <c r="H20" s="360"/>
    </row>
    <row r="21" spans="1:8">
      <c r="A21" s="396" t="s">
        <v>301</v>
      </c>
      <c r="B21" s="360"/>
      <c r="C21" s="360"/>
      <c r="D21" s="360"/>
      <c r="E21" s="360"/>
      <c r="F21" s="360"/>
      <c r="G21" s="360"/>
      <c r="H21" s="360"/>
    </row>
    <row r="22" spans="1:8">
      <c r="A22" s="361" t="str">
        <f t="shared" ref="A22:A27" si="1">A8</f>
        <v>Faclitiy 1 - Cleaning &amp; Grading</v>
      </c>
      <c r="B22" s="360">
        <v>0</v>
      </c>
      <c r="C22" s="360">
        <v>0</v>
      </c>
      <c r="D22" s="360">
        <v>0</v>
      </c>
      <c r="E22" s="360">
        <v>0</v>
      </c>
      <c r="F22" s="360">
        <v>0</v>
      </c>
      <c r="G22" s="360">
        <v>0</v>
      </c>
      <c r="H22" s="360">
        <v>0</v>
      </c>
    </row>
    <row r="23" spans="1:8">
      <c r="A23" s="361" t="str">
        <f t="shared" si="1"/>
        <v>Facility 6 - Processing Unit - Horti Commodity</v>
      </c>
      <c r="B23" s="360">
        <f>'17.Facility 6 Horti Processing '!D169</f>
        <v>0</v>
      </c>
      <c r="C23" s="360">
        <f>'17.Facility 6 Horti Processing '!E169</f>
        <v>0</v>
      </c>
      <c r="D23" s="360">
        <f>'17.Facility 6 Horti Processing '!F169</f>
        <v>0</v>
      </c>
      <c r="E23" s="360">
        <f>'17.Facility 6 Horti Processing '!G169</f>
        <v>0</v>
      </c>
      <c r="F23" s="360">
        <f>'17.Facility 6 Horti Processing '!H169</f>
        <v>0</v>
      </c>
      <c r="G23" s="360">
        <f>'17.Facility 6 Horti Processing '!I169</f>
        <v>0</v>
      </c>
      <c r="H23" s="360">
        <f>'17.Facility 6 Horti Processing '!J169</f>
        <v>0</v>
      </c>
    </row>
    <row r="24" spans="1:8">
      <c r="A24" s="361" t="str">
        <f t="shared" si="1"/>
        <v>Faclitiy 3 - Warehouse</v>
      </c>
      <c r="B24" s="360">
        <f>'14. Facility 3 Warehouse'!D34</f>
        <v>0</v>
      </c>
      <c r="C24" s="360">
        <f>'14. Facility 3 Warehouse'!E34</f>
        <v>0</v>
      </c>
      <c r="D24" s="360">
        <f>'14. Facility 3 Warehouse'!F34</f>
        <v>0</v>
      </c>
      <c r="E24" s="360">
        <f>'14. Facility 3 Warehouse'!G34</f>
        <v>0</v>
      </c>
      <c r="F24" s="360">
        <f>'14. Facility 3 Warehouse'!H34</f>
        <v>0</v>
      </c>
      <c r="G24" s="360">
        <f>'14. Facility 3 Warehouse'!I34</f>
        <v>0</v>
      </c>
      <c r="H24" s="360">
        <f>'14. Facility 3 Warehouse'!J34</f>
        <v>0</v>
      </c>
    </row>
    <row r="25" spans="1:8">
      <c r="A25" s="361" t="str">
        <f t="shared" si="1"/>
        <v xml:space="preserve">Faclitiy 4 - Custom Hiring </v>
      </c>
      <c r="B25" s="360">
        <f>'15. Facility 4 Custom Hiring'!E49</f>
        <v>0</v>
      </c>
      <c r="C25" s="360">
        <f>'15. Facility 4 Custom Hiring'!F49</f>
        <v>0</v>
      </c>
      <c r="D25" s="360">
        <f>'15. Facility 4 Custom Hiring'!G49</f>
        <v>0</v>
      </c>
      <c r="E25" s="360">
        <f>'15. Facility 4 Custom Hiring'!H49</f>
        <v>0</v>
      </c>
      <c r="F25" s="360">
        <f>'15. Facility 4 Custom Hiring'!I49</f>
        <v>0</v>
      </c>
      <c r="G25" s="360">
        <f>'15. Facility 4 Custom Hiring'!J49</f>
        <v>0</v>
      </c>
      <c r="H25" s="360">
        <f>'15. Facility 4 Custom Hiring'!K49</f>
        <v>0</v>
      </c>
    </row>
    <row r="26" spans="1:8">
      <c r="A26" s="361" t="str">
        <f t="shared" si="1"/>
        <v>Faclitiy 5 - Agri Input Centre</v>
      </c>
      <c r="B26" s="360">
        <v>0</v>
      </c>
      <c r="C26" s="360">
        <v>0</v>
      </c>
      <c r="D26" s="360">
        <v>0</v>
      </c>
      <c r="E26" s="360">
        <v>0</v>
      </c>
      <c r="F26" s="360">
        <v>0</v>
      </c>
      <c r="G26" s="360">
        <v>0</v>
      </c>
      <c r="H26" s="360">
        <v>0</v>
      </c>
    </row>
    <row r="27" spans="1:8">
      <c r="A27" s="361" t="str">
        <f t="shared" si="1"/>
        <v>Faclitiy 2 - Processing Unit- Cleaning Grading Plant</v>
      </c>
      <c r="B27" s="360">
        <f>'13.Facility 2 Grain Processing-'!D112</f>
        <v>1144.1799149999999</v>
      </c>
      <c r="C27" s="360">
        <f>'13.Facility 2 Grain Processing-'!E112</f>
        <v>1199.0138649999999</v>
      </c>
      <c r="D27" s="360">
        <f>'13.Facility 2 Grain Processing-'!F112</f>
        <v>1257.360655</v>
      </c>
      <c r="E27" s="360">
        <f>'13.Facility 2 Grain Processing-'!G112</f>
        <v>1318.6713550000002</v>
      </c>
      <c r="F27" s="360">
        <f>'13.Facility 2 Grain Processing-'!H112</f>
        <v>1382.9920550000002</v>
      </c>
      <c r="G27" s="360">
        <f>'13.Facility 2 Grain Processing-'!I112</f>
        <v>1555.00665</v>
      </c>
      <c r="H27" s="360">
        <f>'13.Facility 2 Grain Processing-'!J112</f>
        <v>1741.0309400000003</v>
      </c>
    </row>
    <row r="28" spans="1:8">
      <c r="A28" s="361"/>
      <c r="B28" s="360"/>
      <c r="C28" s="360"/>
      <c r="D28" s="360"/>
      <c r="E28" s="360"/>
      <c r="F28" s="360"/>
      <c r="G28" s="360"/>
      <c r="H28" s="360"/>
    </row>
    <row r="29" spans="1:8">
      <c r="A29" s="396" t="s">
        <v>308</v>
      </c>
      <c r="B29" s="397">
        <f>SUM(B22:B28)</f>
        <v>1144.1799149999999</v>
      </c>
      <c r="C29" s="397">
        <f t="shared" ref="C29:H29" si="2">SUM(C22:C28)</f>
        <v>1199.0138649999999</v>
      </c>
      <c r="D29" s="397">
        <f t="shared" si="2"/>
        <v>1257.360655</v>
      </c>
      <c r="E29" s="397">
        <f t="shared" si="2"/>
        <v>1318.6713550000002</v>
      </c>
      <c r="F29" s="397">
        <f t="shared" si="2"/>
        <v>1382.9920550000002</v>
      </c>
      <c r="G29" s="397">
        <f t="shared" si="2"/>
        <v>1555.00665</v>
      </c>
      <c r="H29" s="397">
        <f t="shared" si="2"/>
        <v>1741.0309400000003</v>
      </c>
    </row>
    <row r="30" spans="1:8">
      <c r="A30" s="361"/>
      <c r="B30" s="360"/>
      <c r="C30" s="360"/>
      <c r="D30" s="360"/>
      <c r="E30" s="360"/>
      <c r="F30" s="360"/>
      <c r="G30" s="360"/>
      <c r="H30" s="360"/>
    </row>
    <row r="31" spans="1:8">
      <c r="A31" s="396" t="s">
        <v>299</v>
      </c>
      <c r="B31" s="360"/>
      <c r="C31" s="360"/>
      <c r="D31" s="360"/>
      <c r="E31" s="360"/>
      <c r="F31" s="360"/>
      <c r="G31" s="360"/>
      <c r="H31" s="360"/>
    </row>
    <row r="32" spans="1:8">
      <c r="A32" s="361" t="str">
        <f t="shared" ref="A32:A37" si="3">A22</f>
        <v>Faclitiy 1 - Cleaning &amp; Grading</v>
      </c>
      <c r="B32" s="360">
        <f>'12.Facility 1 - Trading'!D301</f>
        <v>0</v>
      </c>
      <c r="C32" s="360">
        <f>'12.Facility 1 - Trading'!E301</f>
        <v>0</v>
      </c>
      <c r="D32" s="360">
        <f>'12.Facility 1 - Trading'!F301</f>
        <v>0</v>
      </c>
      <c r="E32" s="360">
        <f>'12.Facility 1 - Trading'!G301</f>
        <v>0</v>
      </c>
      <c r="F32" s="360">
        <f>'12.Facility 1 - Trading'!H301</f>
        <v>0</v>
      </c>
      <c r="G32" s="360">
        <f>'12.Facility 1 - Trading'!I301</f>
        <v>0</v>
      </c>
      <c r="H32" s="360">
        <f>'12.Facility 1 - Trading'!J301</f>
        <v>0</v>
      </c>
    </row>
    <row r="33" spans="1:8">
      <c r="A33" s="361" t="str">
        <f t="shared" si="3"/>
        <v>Facility 6 - Processing Unit - Horti Commodity</v>
      </c>
      <c r="B33" s="360">
        <f>'17.Facility 6 Horti Processing '!D177</f>
        <v>0</v>
      </c>
      <c r="C33" s="360">
        <f>'17.Facility 6 Horti Processing '!E177</f>
        <v>0</v>
      </c>
      <c r="D33" s="360">
        <f>'17.Facility 6 Horti Processing '!F177</f>
        <v>0</v>
      </c>
      <c r="E33" s="360">
        <f>'17.Facility 6 Horti Processing '!G177</f>
        <v>0</v>
      </c>
      <c r="F33" s="360">
        <f>'17.Facility 6 Horti Processing '!H177</f>
        <v>0</v>
      </c>
      <c r="G33" s="360">
        <f>'17.Facility 6 Horti Processing '!I177</f>
        <v>0</v>
      </c>
      <c r="H33" s="360">
        <f>'17.Facility 6 Horti Processing '!J177</f>
        <v>0</v>
      </c>
    </row>
    <row r="34" spans="1:8">
      <c r="A34" s="361" t="str">
        <f t="shared" si="3"/>
        <v>Faclitiy 3 - Warehouse</v>
      </c>
      <c r="B34" s="360">
        <f>'14. Facility 3 Warehouse'!D43</f>
        <v>0</v>
      </c>
      <c r="C34" s="360">
        <f>'14. Facility 3 Warehouse'!E43</f>
        <v>0</v>
      </c>
      <c r="D34" s="360">
        <f>'14. Facility 3 Warehouse'!F43</f>
        <v>0</v>
      </c>
      <c r="E34" s="360">
        <f>'14. Facility 3 Warehouse'!G43</f>
        <v>0</v>
      </c>
      <c r="F34" s="360">
        <f>'14. Facility 3 Warehouse'!H43</f>
        <v>0</v>
      </c>
      <c r="G34" s="360">
        <f>'14. Facility 3 Warehouse'!I43</f>
        <v>0</v>
      </c>
      <c r="H34" s="360">
        <f>'14. Facility 3 Warehouse'!J43</f>
        <v>0</v>
      </c>
    </row>
    <row r="35" spans="1:8">
      <c r="A35" s="361" t="str">
        <f t="shared" si="3"/>
        <v xml:space="preserve">Faclitiy 4 - Custom Hiring </v>
      </c>
      <c r="B35" s="360">
        <f>'15. Facility 4 Custom Hiring'!E56</f>
        <v>0</v>
      </c>
      <c r="C35" s="360">
        <f>'15. Facility 4 Custom Hiring'!F56</f>
        <v>0</v>
      </c>
      <c r="D35" s="360">
        <f>'15. Facility 4 Custom Hiring'!G56</f>
        <v>0</v>
      </c>
      <c r="E35" s="360">
        <f>'15. Facility 4 Custom Hiring'!H56</f>
        <v>0</v>
      </c>
      <c r="F35" s="360">
        <f>'15. Facility 4 Custom Hiring'!I56</f>
        <v>0</v>
      </c>
      <c r="G35" s="360">
        <f>'15. Facility 4 Custom Hiring'!J56</f>
        <v>0</v>
      </c>
      <c r="H35" s="360">
        <f>'15. Facility 4 Custom Hiring'!K56</f>
        <v>0</v>
      </c>
    </row>
    <row r="36" spans="1:8">
      <c r="A36" s="361" t="str">
        <f t="shared" si="3"/>
        <v>Faclitiy 5 - Agri Input Centre</v>
      </c>
      <c r="B36" s="360">
        <f>'16.Facility 5 Agri Input'!D273</f>
        <v>0</v>
      </c>
      <c r="C36" s="360">
        <f>'16.Facility 5 Agri Input'!E273</f>
        <v>0</v>
      </c>
      <c r="D36" s="360">
        <f>'16.Facility 5 Agri Input'!F273</f>
        <v>0</v>
      </c>
      <c r="E36" s="360">
        <f>'16.Facility 5 Agri Input'!G273</f>
        <v>0</v>
      </c>
      <c r="F36" s="360">
        <f>'16.Facility 5 Agri Input'!H273</f>
        <v>0</v>
      </c>
      <c r="G36" s="360">
        <f>'16.Facility 5 Agri Input'!I273</f>
        <v>0</v>
      </c>
      <c r="H36" s="360">
        <f>'16.Facility 5 Agri Input'!J273</f>
        <v>0</v>
      </c>
    </row>
    <row r="37" spans="1:8">
      <c r="A37" s="361" t="str">
        <f t="shared" si="3"/>
        <v>Faclitiy 2 - Processing Unit- Cleaning Grading Plant</v>
      </c>
      <c r="B37" s="360">
        <f>'13.Facility 2 Grain Processing-'!D121</f>
        <v>7.4952449999999997</v>
      </c>
      <c r="C37" s="360">
        <f>'13.Facility 2 Grain Processing-'!E121</f>
        <v>7.8700072499999996</v>
      </c>
      <c r="D37" s="360">
        <f>'13.Facility 2 Grain Processing-'!F121</f>
        <v>8.2635076124999998</v>
      </c>
      <c r="E37" s="360">
        <f>'13.Facility 2 Grain Processing-'!G121</f>
        <v>8.6766829931250022</v>
      </c>
      <c r="F37" s="360">
        <f>'13.Facility 2 Grain Processing-'!H121</f>
        <v>9.1105171427812515</v>
      </c>
      <c r="G37" s="360">
        <f>'13.Facility 2 Grain Processing-'!I121</f>
        <v>9.5660429999203149</v>
      </c>
      <c r="H37" s="360">
        <f>'13.Facility 2 Grain Processing-'!J121</f>
        <v>10.044345149916332</v>
      </c>
    </row>
    <row r="38" spans="1:8">
      <c r="A38" s="361"/>
      <c r="B38" s="360"/>
      <c r="C38" s="360"/>
      <c r="D38" s="360"/>
      <c r="E38" s="360"/>
      <c r="F38" s="360"/>
      <c r="G38" s="360"/>
      <c r="H38" s="360"/>
    </row>
    <row r="39" spans="1:8">
      <c r="A39" s="361" t="s">
        <v>9</v>
      </c>
      <c r="B39" s="360">
        <f>+'3.Other Exp &amp; Taxes'!C18</f>
        <v>7.5839999999999987</v>
      </c>
      <c r="C39" s="360">
        <f>+'3.Other Exp &amp; Taxes'!D18</f>
        <v>7.9617000000000004</v>
      </c>
      <c r="D39" s="360">
        <f>+'3.Other Exp &amp; Taxes'!E18</f>
        <v>8.3582849999999986</v>
      </c>
      <c r="E39" s="360">
        <f>+'3.Other Exp &amp; Taxes'!F18</f>
        <v>8.7746992500000012</v>
      </c>
      <c r="F39" s="360">
        <f>+'3.Other Exp &amp; Taxes'!G18</f>
        <v>9.211934212500001</v>
      </c>
      <c r="G39" s="360">
        <f>+'3.Other Exp &amp; Taxes'!H18</f>
        <v>9.6710309231250022</v>
      </c>
      <c r="H39" s="360">
        <f>+'3.Other Exp &amp; Taxes'!I18</f>
        <v>10.153082469281253</v>
      </c>
    </row>
    <row r="40" spans="1:8">
      <c r="A40" s="396" t="s">
        <v>312</v>
      </c>
      <c r="B40" s="397">
        <f t="shared" ref="B40:H40" si="4">SUM(B32:B39)</f>
        <v>15.079244999999998</v>
      </c>
      <c r="C40" s="397">
        <f t="shared" si="4"/>
        <v>15.831707250000001</v>
      </c>
      <c r="D40" s="397">
        <f t="shared" si="4"/>
        <v>16.621792612499998</v>
      </c>
      <c r="E40" s="397">
        <f t="shared" si="4"/>
        <v>17.451382243125003</v>
      </c>
      <c r="F40" s="397">
        <f t="shared" si="4"/>
        <v>18.322451355281252</v>
      </c>
      <c r="G40" s="397">
        <f t="shared" si="4"/>
        <v>19.237073923045315</v>
      </c>
      <c r="H40" s="397">
        <f t="shared" si="4"/>
        <v>20.197427619197583</v>
      </c>
    </row>
    <row r="41" spans="1:8">
      <c r="A41" s="361"/>
      <c r="B41" s="360"/>
      <c r="C41" s="360"/>
      <c r="D41" s="360"/>
      <c r="E41" s="360"/>
      <c r="F41" s="360"/>
      <c r="G41" s="360"/>
      <c r="H41" s="360"/>
    </row>
    <row r="42" spans="1:8">
      <c r="A42" s="396" t="s">
        <v>316</v>
      </c>
      <c r="B42" s="397">
        <f t="shared" ref="B42:H42" si="5">B29+B40</f>
        <v>1159.2591599999998</v>
      </c>
      <c r="C42" s="397">
        <f t="shared" si="5"/>
        <v>1214.8455722499998</v>
      </c>
      <c r="D42" s="397">
        <f t="shared" si="5"/>
        <v>1273.9824476125</v>
      </c>
      <c r="E42" s="397">
        <f t="shared" si="5"/>
        <v>1336.1227372431251</v>
      </c>
      <c r="F42" s="397">
        <f t="shared" si="5"/>
        <v>1401.3145063552813</v>
      </c>
      <c r="G42" s="397">
        <f t="shared" si="5"/>
        <v>1574.2437239230453</v>
      </c>
      <c r="H42" s="397">
        <f t="shared" si="5"/>
        <v>1761.2283676191978</v>
      </c>
    </row>
    <row r="43" spans="1:8">
      <c r="A43" s="361"/>
      <c r="B43" s="360"/>
      <c r="C43" s="360"/>
      <c r="D43" s="360"/>
      <c r="E43" s="360"/>
      <c r="F43" s="360"/>
      <c r="G43" s="360"/>
      <c r="H43" s="360"/>
    </row>
    <row r="44" spans="1:8">
      <c r="A44" s="396" t="s">
        <v>132</v>
      </c>
      <c r="B44" s="397">
        <f t="shared" ref="B44:H44" si="6">B19-B42</f>
        <v>46.7338400000001</v>
      </c>
      <c r="C44" s="397">
        <f t="shared" si="6"/>
        <v>53.943177750000132</v>
      </c>
      <c r="D44" s="397">
        <f t="shared" si="6"/>
        <v>60.252215720833419</v>
      </c>
      <c r="E44" s="397">
        <f t="shared" si="6"/>
        <v>66.915881756875024</v>
      </c>
      <c r="F44" s="397">
        <f t="shared" si="6"/>
        <v>74.031658178051885</v>
      </c>
      <c r="G44" s="397">
        <f t="shared" si="6"/>
        <v>86.544423676954921</v>
      </c>
      <c r="H44" s="397">
        <f t="shared" si="6"/>
        <v>102.2968573594685</v>
      </c>
    </row>
    <row r="45" spans="1:8">
      <c r="A45" s="361"/>
      <c r="B45" s="360"/>
      <c r="C45" s="360"/>
      <c r="D45" s="360"/>
      <c r="E45" s="360"/>
      <c r="F45" s="360"/>
      <c r="G45" s="360"/>
      <c r="H45" s="360"/>
    </row>
    <row r="46" spans="1:8">
      <c r="A46" s="398" t="s">
        <v>16</v>
      </c>
      <c r="B46" s="360">
        <f>'3.Other Exp &amp; Taxes'!C58</f>
        <v>7.4397339000000002</v>
      </c>
      <c r="C46" s="360">
        <f>'3.Other Exp &amp; Taxes'!D58</f>
        <v>7.4397339000000002</v>
      </c>
      <c r="D46" s="360">
        <f>'3.Other Exp &amp; Taxes'!E58</f>
        <v>7.4397339000000002</v>
      </c>
      <c r="E46" s="360">
        <f>'3.Other Exp &amp; Taxes'!F58</f>
        <v>7.4397339000000002</v>
      </c>
      <c r="F46" s="360">
        <f>'3.Other Exp &amp; Taxes'!G58</f>
        <v>7.4397339000000002</v>
      </c>
      <c r="G46" s="360">
        <f>'3.Other Exp &amp; Taxes'!H58</f>
        <v>7.4397339000000002</v>
      </c>
      <c r="H46" s="360">
        <f>'3.Other Exp &amp; Taxes'!I58</f>
        <v>7.4397339000000002</v>
      </c>
    </row>
    <row r="47" spans="1:8">
      <c r="A47" s="398" t="s">
        <v>133</v>
      </c>
      <c r="B47" s="360">
        <f>'3.Other Exp &amp; Taxes'!C78</f>
        <v>1.28345</v>
      </c>
      <c r="C47" s="360">
        <f>'3.Other Exp &amp; Taxes'!D78</f>
        <v>1.28345</v>
      </c>
      <c r="D47" s="360">
        <f>'3.Other Exp &amp; Taxes'!E78</f>
        <v>1.28345</v>
      </c>
      <c r="E47" s="360">
        <f>'3.Other Exp &amp; Taxes'!F78</f>
        <v>1.28345</v>
      </c>
      <c r="F47" s="360">
        <f>'3.Other Exp &amp; Taxes'!G78</f>
        <v>1.28345</v>
      </c>
      <c r="G47" s="360">
        <f>'3.Other Exp &amp; Taxes'!H78</f>
        <v>1.28345</v>
      </c>
      <c r="H47" s="360">
        <f>'3.Other Exp &amp; Taxes'!I78</f>
        <v>1.28345</v>
      </c>
    </row>
    <row r="48" spans="1:8">
      <c r="A48" s="361"/>
      <c r="B48" s="360"/>
      <c r="C48" s="360"/>
      <c r="D48" s="360"/>
      <c r="E48" s="360"/>
      <c r="F48" s="360"/>
      <c r="G48" s="360"/>
      <c r="H48" s="360"/>
    </row>
    <row r="49" spans="1:9">
      <c r="A49" s="396" t="s">
        <v>134</v>
      </c>
      <c r="B49" s="397">
        <f>B44-B46-B47</f>
        <v>38.010656100000098</v>
      </c>
      <c r="C49" s="397">
        <f t="shared" ref="C49:H49" si="7">C44-C46-C47</f>
        <v>45.219993850000129</v>
      </c>
      <c r="D49" s="397">
        <f t="shared" si="7"/>
        <v>51.529031820833417</v>
      </c>
      <c r="E49" s="397">
        <f t="shared" si="7"/>
        <v>58.192697856875022</v>
      </c>
      <c r="F49" s="397">
        <f t="shared" si="7"/>
        <v>65.308474278051889</v>
      </c>
      <c r="G49" s="397">
        <f t="shared" si="7"/>
        <v>77.821239776954926</v>
      </c>
      <c r="H49" s="397">
        <f t="shared" si="7"/>
        <v>93.573673459468509</v>
      </c>
    </row>
    <row r="50" spans="1:9">
      <c r="A50" s="361"/>
      <c r="B50" s="360"/>
      <c r="C50" s="360"/>
      <c r="D50" s="360"/>
      <c r="E50" s="360"/>
      <c r="F50" s="360"/>
      <c r="G50" s="360"/>
      <c r="H50" s="360"/>
    </row>
    <row r="51" spans="1:9">
      <c r="A51" s="361" t="s">
        <v>23</v>
      </c>
      <c r="B51" s="360">
        <f>+SUM('4.TL repayment sch'!D10:D21)</f>
        <v>3.2680287267149599</v>
      </c>
      <c r="C51" s="360">
        <f>+SUM('4.TL repayment sch'!D22:D33)</f>
        <v>2.1784089126680168</v>
      </c>
      <c r="D51" s="360">
        <f>+SUM('4.TL repayment sch'!D34:D45)</f>
        <v>0.79636299588317172</v>
      </c>
      <c r="E51" s="360">
        <f>+SUM('4.TL repayment sch'!D46:D57)</f>
        <v>2.3980817331903381E-14</v>
      </c>
      <c r="F51" s="360">
        <f>+SUM('4.TL repayment sch'!D58:D69)</f>
        <v>2.3980817331903381E-14</v>
      </c>
      <c r="G51" s="360">
        <f>+SUM('4.TL repayment sch'!D70:D81)</f>
        <v>2.3980817331903381E-14</v>
      </c>
      <c r="H51" s="360">
        <f>+SUM('4.TL repayment sch'!D82:D93)</f>
        <v>2.3980817331903381E-14</v>
      </c>
    </row>
    <row r="52" spans="1:9">
      <c r="A52" s="361" t="s">
        <v>794</v>
      </c>
      <c r="B52" s="360">
        <f>+'5.Closing Stock &amp; W Capital'!E56*9%</f>
        <v>1.1337140999999991</v>
      </c>
      <c r="C52" s="360">
        <f>+'5.Closing Stock &amp; W Capital'!F56*9%</f>
        <v>2.8695809840047088</v>
      </c>
      <c r="D52" s="360">
        <f>+'5.Closing Stock &amp; W Capital'!G56*9%</f>
        <v>5.8342919366317432</v>
      </c>
      <c r="E52" s="360">
        <f>+'5.Closing Stock &amp; W Capital'!H56*9%</f>
        <v>9.0861383710211197</v>
      </c>
      <c r="F52" s="360">
        <f>+'5.Closing Stock &amp; W Capital'!I56*9%</f>
        <v>12.647820242840588</v>
      </c>
      <c r="G52" s="360">
        <f>+'5.Closing Stock &amp; W Capital'!J56*9%</f>
        <v>16.433020687193146</v>
      </c>
      <c r="H52" s="360">
        <f>+'5.Closing Stock &amp; W Capital'!K56*9%</f>
        <v>20.832598114465576</v>
      </c>
    </row>
    <row r="53" spans="1:9">
      <c r="A53" s="361"/>
      <c r="B53" s="360"/>
      <c r="C53" s="360"/>
      <c r="D53" s="360"/>
      <c r="E53" s="360"/>
      <c r="F53" s="360"/>
      <c r="G53" s="360"/>
      <c r="H53" s="360"/>
    </row>
    <row r="54" spans="1:9">
      <c r="A54" s="361" t="s">
        <v>24</v>
      </c>
      <c r="B54" s="360">
        <f>B49-B51-B52</f>
        <v>33.60891327328514</v>
      </c>
      <c r="C54" s="360">
        <f t="shared" ref="C54:H54" si="8">C49-C51-C52</f>
        <v>40.172003953327405</v>
      </c>
      <c r="D54" s="360">
        <f t="shared" si="8"/>
        <v>44.898376888318502</v>
      </c>
      <c r="E54" s="360">
        <f t="shared" si="8"/>
        <v>49.106559485853879</v>
      </c>
      <c r="F54" s="360">
        <f t="shared" si="8"/>
        <v>52.660654035211273</v>
      </c>
      <c r="G54" s="360">
        <f t="shared" si="8"/>
        <v>61.388219089761748</v>
      </c>
      <c r="H54" s="360">
        <f t="shared" si="8"/>
        <v>72.741075345002912</v>
      </c>
    </row>
    <row r="55" spans="1:9">
      <c r="A55" s="361" t="s">
        <v>25</v>
      </c>
      <c r="B55" s="360">
        <f>'3.Other Exp &amp; Taxes'!B92</f>
        <v>5.2835112650541367</v>
      </c>
      <c r="C55" s="360">
        <f>'3.Other Exp &amp; Taxes'!C92</f>
        <v>7.6364353918651258</v>
      </c>
      <c r="D55" s="360">
        <f>'3.Other Exp &amp; Taxes'!D92</f>
        <v>9.4310198224628117</v>
      </c>
      <c r="E55" s="360">
        <f>'3.Other Exp &amp; Taxes'!E92</f>
        <v>11.020582145197009</v>
      </c>
      <c r="F55" s="360">
        <f>'3.Other Exp &amp; Taxes'!F92</f>
        <v>12.378876198298682</v>
      </c>
      <c r="G55" s="360">
        <f>'3.Other Exp &amp; Taxes'!G92</f>
        <v>15.02893702721024</v>
      </c>
      <c r="H55" s="360">
        <f>'3.Other Exp &amp; Taxes'!H92</f>
        <v>18.315058459592116</v>
      </c>
    </row>
    <row r="56" spans="1:9">
      <c r="A56" s="396" t="s">
        <v>27</v>
      </c>
      <c r="B56" s="360">
        <f>B54-B55</f>
        <v>28.325402008231002</v>
      </c>
      <c r="C56" s="360">
        <f>C54-C55</f>
        <v>32.535568561462277</v>
      </c>
      <c r="D56" s="360">
        <f>D54-D55</f>
        <v>35.467357065855694</v>
      </c>
      <c r="E56" s="360">
        <f>E54-E55</f>
        <v>38.085977340656868</v>
      </c>
      <c r="F56" s="360">
        <f>F54-F55</f>
        <v>40.281777836912589</v>
      </c>
      <c r="G56" s="360">
        <f t="shared" ref="G56:H56" si="9">G54-G55</f>
        <v>46.359282062551507</v>
      </c>
      <c r="H56" s="360">
        <f t="shared" si="9"/>
        <v>54.426016885410796</v>
      </c>
    </row>
    <row r="57" spans="1:9">
      <c r="A57" s="633" t="s">
        <v>935</v>
      </c>
      <c r="B57" s="360">
        <f>+B56*0.3</f>
        <v>8.4976206024693006</v>
      </c>
      <c r="C57" s="360">
        <f t="shared" ref="C57:H57" si="10">+C56*0.3</f>
        <v>9.7606705684386821</v>
      </c>
      <c r="D57" s="360">
        <f t="shared" si="10"/>
        <v>10.640207119756708</v>
      </c>
      <c r="E57" s="360">
        <f t="shared" si="10"/>
        <v>11.42579320219706</v>
      </c>
      <c r="F57" s="360">
        <f t="shared" si="10"/>
        <v>12.084533351073777</v>
      </c>
      <c r="G57" s="360">
        <f t="shared" si="10"/>
        <v>13.907784618765453</v>
      </c>
      <c r="H57" s="360">
        <f t="shared" si="10"/>
        <v>16.327805065623238</v>
      </c>
    </row>
    <row r="58" spans="1:9">
      <c r="A58" s="396" t="s">
        <v>869</v>
      </c>
      <c r="B58" s="397">
        <f>+B56-B57</f>
        <v>19.827781405761701</v>
      </c>
      <c r="C58" s="397">
        <f t="shared" ref="C58:H58" si="11">+C56-C57</f>
        <v>22.774897993023593</v>
      </c>
      <c r="D58" s="397">
        <f t="shared" si="11"/>
        <v>24.827149946098984</v>
      </c>
      <c r="E58" s="397">
        <f t="shared" si="11"/>
        <v>26.660184138459808</v>
      </c>
      <c r="F58" s="397">
        <f t="shared" si="11"/>
        <v>28.197244485838812</v>
      </c>
      <c r="G58" s="397">
        <f t="shared" si="11"/>
        <v>32.451497443786053</v>
      </c>
      <c r="H58" s="397">
        <f t="shared" si="11"/>
        <v>38.098211819787558</v>
      </c>
    </row>
    <row r="59" spans="1:9">
      <c r="A59" s="361" t="s">
        <v>466</v>
      </c>
      <c r="B59" s="360">
        <f>+B58</f>
        <v>19.827781405761701</v>
      </c>
      <c r="C59" s="360">
        <f t="shared" ref="C59:H59" si="12">B59+C58</f>
        <v>42.602679398785298</v>
      </c>
      <c r="D59" s="360">
        <f t="shared" si="12"/>
        <v>67.429829344884283</v>
      </c>
      <c r="E59" s="360">
        <f t="shared" si="12"/>
        <v>94.090013483344094</v>
      </c>
      <c r="F59" s="360">
        <f t="shared" si="12"/>
        <v>122.2872579691829</v>
      </c>
      <c r="G59" s="360">
        <f t="shared" si="12"/>
        <v>154.73875541296894</v>
      </c>
      <c r="H59" s="360">
        <f t="shared" si="12"/>
        <v>192.83696723275651</v>
      </c>
    </row>
    <row r="60" spans="1:9">
      <c r="A60" s="94"/>
      <c r="B60" s="399"/>
      <c r="C60" s="399"/>
      <c r="D60" s="399"/>
      <c r="E60" s="399"/>
      <c r="F60" s="399"/>
      <c r="G60" s="399"/>
      <c r="H60" s="399"/>
    </row>
    <row r="61" spans="1:9" s="632" customFormat="1" ht="43.5" customHeight="1">
      <c r="A61" s="701" t="s">
        <v>872</v>
      </c>
      <c r="B61" s="701"/>
      <c r="C61" s="701"/>
      <c r="D61" s="701"/>
      <c r="E61" s="701"/>
      <c r="F61" s="701"/>
      <c r="G61" s="701"/>
      <c r="H61" s="701"/>
    </row>
    <row r="62" spans="1:9" ht="31.5" customHeight="1">
      <c r="A62" s="702" t="s">
        <v>871</v>
      </c>
      <c r="B62" s="702"/>
      <c r="C62" s="702"/>
      <c r="D62" s="702"/>
      <c r="E62" s="702"/>
      <c r="F62" s="702"/>
      <c r="G62" s="702"/>
      <c r="H62" s="702"/>
    </row>
    <row r="63" spans="1:9">
      <c r="A63" s="631"/>
      <c r="B63" s="631"/>
      <c r="C63" s="631"/>
      <c r="D63" s="631"/>
      <c r="E63" s="631"/>
      <c r="F63" s="631"/>
      <c r="G63" s="631"/>
      <c r="H63" s="631"/>
    </row>
    <row r="64" spans="1:9" ht="32.450000000000003" customHeight="1">
      <c r="A64" s="700" t="s">
        <v>388</v>
      </c>
      <c r="B64" s="700"/>
      <c r="C64" s="700"/>
      <c r="D64" s="700"/>
      <c r="E64" s="700"/>
      <c r="F64" s="700"/>
      <c r="G64" s="700"/>
      <c r="H64" s="700"/>
      <c r="I64" s="605"/>
    </row>
    <row r="66" spans="1:1">
      <c r="A66" s="400"/>
    </row>
  </sheetData>
  <mergeCells count="4">
    <mergeCell ref="A2:H2"/>
    <mergeCell ref="A64:H64"/>
    <mergeCell ref="A61:H61"/>
    <mergeCell ref="A62:H62"/>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view="pageBreakPreview" topLeftCell="A21" zoomScale="80" zoomScaleSheetLayoutView="80" workbookViewId="0">
      <selection activeCell="A4" sqref="A4:H47"/>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1" width="8.7109375" style="44" customWidth="1"/>
    <col min="12"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703"/>
      <c r="B1" s="703"/>
      <c r="C1" s="703"/>
      <c r="D1" s="703"/>
      <c r="E1" s="703"/>
      <c r="F1" s="703"/>
    </row>
    <row r="2" spans="1:18" ht="18.75">
      <c r="A2" s="704" t="s">
        <v>503</v>
      </c>
      <c r="B2" s="674"/>
      <c r="C2" s="674"/>
      <c r="D2" s="674"/>
      <c r="E2" s="674"/>
      <c r="F2" s="674"/>
      <c r="G2" s="674"/>
      <c r="H2" s="674"/>
      <c r="I2" s="71"/>
    </row>
    <row r="3" spans="1:18">
      <c r="A3" s="72"/>
      <c r="B3" s="46"/>
      <c r="C3" s="46"/>
      <c r="D3" s="46"/>
      <c r="E3" s="46"/>
      <c r="F3" s="46"/>
    </row>
    <row r="4" spans="1:18">
      <c r="A4" s="100" t="s">
        <v>0</v>
      </c>
      <c r="B4" s="101" t="s">
        <v>2</v>
      </c>
      <c r="C4" s="101" t="s">
        <v>3</v>
      </c>
      <c r="D4" s="101" t="s">
        <v>4</v>
      </c>
      <c r="E4" s="101" t="s">
        <v>5</v>
      </c>
      <c r="F4" s="101" t="s">
        <v>6</v>
      </c>
      <c r="G4" s="102" t="s">
        <v>163</v>
      </c>
      <c r="H4" s="102" t="s">
        <v>162</v>
      </c>
    </row>
    <row r="5" spans="1:18" s="45" customFormat="1">
      <c r="A5" s="103"/>
      <c r="B5" s="104"/>
      <c r="C5" s="105"/>
      <c r="D5" s="105"/>
      <c r="E5" s="105"/>
      <c r="F5" s="105"/>
      <c r="G5" s="105"/>
      <c r="H5" s="105"/>
    </row>
    <row r="6" spans="1:18">
      <c r="A6" s="106" t="s">
        <v>46</v>
      </c>
      <c r="B6" s="107"/>
      <c r="C6" s="107"/>
      <c r="D6" s="107"/>
      <c r="E6" s="107"/>
      <c r="F6" s="107"/>
      <c r="G6" s="107"/>
      <c r="H6" s="107"/>
    </row>
    <row r="7" spans="1:18">
      <c r="A7" s="108" t="s">
        <v>47</v>
      </c>
      <c r="B7" s="109"/>
      <c r="C7" s="109"/>
      <c r="D7" s="109"/>
      <c r="E7" s="109"/>
      <c r="F7" s="109"/>
      <c r="G7" s="109"/>
      <c r="H7" s="109"/>
    </row>
    <row r="8" spans="1:18">
      <c r="A8" s="110" t="s">
        <v>241</v>
      </c>
      <c r="B8" s="485">
        <f>+'8.Cash Flow '!C35</f>
        <v>21.665344425423427</v>
      </c>
      <c r="C8" s="485">
        <f>+'8.Cash Flow '!D35</f>
        <v>32.001408109583735</v>
      </c>
      <c r="D8" s="485">
        <f>+'8.Cash Flow '!E35</f>
        <v>38.456403501803834</v>
      </c>
      <c r="E8" s="485">
        <f>+'8.Cash Flow '!F35</f>
        <v>61.795895857339929</v>
      </c>
      <c r="F8" s="485">
        <f>+'8.Cash Flow '!G35</f>
        <v>85.524909903106618</v>
      </c>
      <c r="G8" s="485">
        <f>+'8.Cash Flow '!H35</f>
        <v>112.68033034188329</v>
      </c>
      <c r="H8" s="485">
        <f>+'8.Cash Flow '!I35</f>
        <v>143.20699484955094</v>
      </c>
      <c r="J8" s="44">
        <v>17.154377439732798</v>
      </c>
      <c r="K8" s="57">
        <f>+B8-J8</f>
        <v>4.5109669856906294</v>
      </c>
      <c r="L8" s="57"/>
      <c r="M8" s="57"/>
      <c r="N8" s="57"/>
      <c r="O8" s="57"/>
      <c r="P8" s="57"/>
      <c r="Q8" s="57"/>
      <c r="R8" s="57"/>
    </row>
    <row r="9" spans="1:18">
      <c r="A9" s="111" t="s">
        <v>242</v>
      </c>
      <c r="B9" s="107">
        <f>+'5.Closing Stock &amp; W Capital'!E40</f>
        <v>48.747111111111103</v>
      </c>
      <c r="C9" s="107">
        <f>+'5.Closing Stock &amp; W Capital'!F40</f>
        <v>33.992416894977168</v>
      </c>
      <c r="D9" s="107">
        <f>+'5.Closing Stock &amp; W Capital'!G40</f>
        <v>35.758891917808228</v>
      </c>
      <c r="E9" s="107">
        <f>+'5.Closing Stock &amp; W Capital'!H40</f>
        <v>37.592702118721462</v>
      </c>
      <c r="F9" s="107">
        <f>+'5.Closing Stock &amp; W Capital'!I40</f>
        <v>39.518465238356157</v>
      </c>
      <c r="G9" s="107">
        <f>+'5.Closing Stock &amp; W Capital'!J40</f>
        <v>44.477718655707761</v>
      </c>
      <c r="H9" s="107">
        <f>+'5.Closing Stock &amp; W Capital'!K40</f>
        <v>49.905655478867573</v>
      </c>
      <c r="J9" s="47">
        <v>19.848951581790121</v>
      </c>
      <c r="K9" s="57">
        <f t="shared" ref="K9:K44" si="0">+B9-J9</f>
        <v>28.898159529320981</v>
      </c>
      <c r="L9" s="57"/>
      <c r="M9" s="57"/>
      <c r="N9" s="57"/>
      <c r="O9" s="57"/>
      <c r="P9" s="57"/>
      <c r="Q9" s="57"/>
      <c r="R9" s="57"/>
    </row>
    <row r="10" spans="1:18">
      <c r="A10" s="111" t="s">
        <v>537</v>
      </c>
      <c r="B10" s="107"/>
      <c r="C10" s="107"/>
      <c r="D10" s="107"/>
      <c r="E10" s="107"/>
      <c r="F10" s="107"/>
      <c r="G10" s="107"/>
      <c r="H10" s="107"/>
      <c r="K10" s="57">
        <f t="shared" si="0"/>
        <v>0</v>
      </c>
      <c r="L10" s="57"/>
      <c r="M10" s="57"/>
      <c r="N10" s="57"/>
      <c r="O10" s="57"/>
      <c r="P10" s="57"/>
      <c r="Q10" s="57"/>
      <c r="R10" s="57"/>
    </row>
    <row r="11" spans="1:18">
      <c r="A11" s="111" t="s">
        <v>795</v>
      </c>
      <c r="B11" s="107">
        <f>+'5.Closing Stock &amp; W Capital'!E42</f>
        <v>66.10733333333333</v>
      </c>
      <c r="C11" s="107">
        <f>+'5.Closing Stock &amp; W Capital'!F42</f>
        <v>109.82976666666667</v>
      </c>
      <c r="D11" s="107">
        <f>+'5.Closing Stock &amp; W Capital'!G42</f>
        <v>156.91657499999999</v>
      </c>
      <c r="E11" s="107">
        <f>+'5.Closing Stock &amp; W Capital'!H42</f>
        <v>208.44056666666665</v>
      </c>
      <c r="F11" s="107">
        <f>+'5.Closing Stock &amp; W Capital'!I42</f>
        <v>264.71705000000003</v>
      </c>
      <c r="G11" s="107">
        <f>+'5.Closing Stock &amp; W Capital'!J42</f>
        <v>330.24986666666672</v>
      </c>
      <c r="H11" s="107">
        <f>+'5.Closing Stock &amp; W Capital'!K42</f>
        <v>405.58716666666669</v>
      </c>
      <c r="J11" s="44">
        <v>8.1916504629629614</v>
      </c>
      <c r="K11" s="57">
        <f t="shared" si="0"/>
        <v>57.915682870370368</v>
      </c>
      <c r="L11" s="57"/>
      <c r="M11" s="57"/>
      <c r="N11" s="57"/>
      <c r="O11" s="57"/>
      <c r="P11" s="57"/>
      <c r="Q11" s="57"/>
      <c r="R11" s="57"/>
    </row>
    <row r="12" spans="1:18">
      <c r="A12" s="108" t="s">
        <v>243</v>
      </c>
      <c r="B12" s="485">
        <f>SUM(B8:B11)</f>
        <v>136.51978886986785</v>
      </c>
      <c r="C12" s="485">
        <f t="shared" ref="C12:H12" si="1">SUM(C8:C11)</f>
        <v>175.82359167122758</v>
      </c>
      <c r="D12" s="485">
        <f t="shared" si="1"/>
        <v>231.13187041961206</v>
      </c>
      <c r="E12" s="485">
        <f t="shared" si="1"/>
        <v>307.82916464272807</v>
      </c>
      <c r="F12" s="485">
        <f t="shared" si="1"/>
        <v>389.7604251414628</v>
      </c>
      <c r="G12" s="485">
        <f t="shared" si="1"/>
        <v>487.40791566425776</v>
      </c>
      <c r="H12" s="485">
        <f t="shared" si="1"/>
        <v>598.69981699508526</v>
      </c>
      <c r="J12" s="44">
        <v>45.194979484485877</v>
      </c>
      <c r="K12" s="57">
        <f t="shared" si="0"/>
        <v>91.324809385381968</v>
      </c>
    </row>
    <row r="13" spans="1:18">
      <c r="A13" s="108"/>
      <c r="B13" s="107"/>
      <c r="C13" s="107"/>
      <c r="D13" s="107"/>
      <c r="E13" s="107"/>
      <c r="F13" s="107"/>
      <c r="G13" s="107"/>
      <c r="H13" s="107"/>
      <c r="J13" s="57"/>
      <c r="K13" s="57">
        <f t="shared" si="0"/>
        <v>0</v>
      </c>
      <c r="L13" s="57"/>
      <c r="M13" s="57"/>
      <c r="N13" s="57"/>
      <c r="O13" s="57"/>
      <c r="P13" s="57"/>
      <c r="Q13" s="57"/>
    </row>
    <row r="14" spans="1:18">
      <c r="A14" s="112" t="s">
        <v>244</v>
      </c>
      <c r="B14" s="107">
        <f>'3.Other Exp &amp; Taxes'!C57</f>
        <v>179.68299999999999</v>
      </c>
      <c r="C14" s="107">
        <f>'3.Other Exp &amp; Taxes'!D57</f>
        <v>172.2432661</v>
      </c>
      <c r="D14" s="107">
        <f>'3.Other Exp &amp; Taxes'!E57</f>
        <v>164.80353219999998</v>
      </c>
      <c r="E14" s="107">
        <f>'3.Other Exp &amp; Taxes'!F57</f>
        <v>157.36379829999998</v>
      </c>
      <c r="F14" s="107">
        <f>'3.Other Exp &amp; Taxes'!G57</f>
        <v>149.92406439999996</v>
      </c>
      <c r="G14" s="107">
        <f>'3.Other Exp &amp; Taxes'!H57</f>
        <v>142.48433049999997</v>
      </c>
      <c r="H14" s="107">
        <f>'3.Other Exp &amp; Taxes'!I57</f>
        <v>135.04459659999995</v>
      </c>
      <c r="J14" s="44">
        <v>138.0181</v>
      </c>
      <c r="K14" s="57">
        <f t="shared" si="0"/>
        <v>41.664899999999989</v>
      </c>
    </row>
    <row r="15" spans="1:18">
      <c r="A15" s="112" t="s">
        <v>245</v>
      </c>
      <c r="B15" s="107">
        <f>'3.Other Exp &amp; Taxes'!C58</f>
        <v>7.4397339000000002</v>
      </c>
      <c r="C15" s="107">
        <f>'3.Other Exp &amp; Taxes'!D58</f>
        <v>7.4397339000000002</v>
      </c>
      <c r="D15" s="107">
        <f>'3.Other Exp &amp; Taxes'!E58</f>
        <v>7.4397339000000002</v>
      </c>
      <c r="E15" s="107">
        <f>'3.Other Exp &amp; Taxes'!F58</f>
        <v>7.4397339000000002</v>
      </c>
      <c r="F15" s="107">
        <f>'3.Other Exp &amp; Taxes'!G58</f>
        <v>7.4397339000000002</v>
      </c>
      <c r="G15" s="107">
        <f>'3.Other Exp &amp; Taxes'!H58</f>
        <v>7.4397339000000002</v>
      </c>
      <c r="H15" s="107">
        <f>'3.Other Exp &amp; Taxes'!I58</f>
        <v>7.4397339000000002</v>
      </c>
      <c r="J15" s="44">
        <v>5.2880377300000001</v>
      </c>
      <c r="K15" s="57">
        <f t="shared" si="0"/>
        <v>2.1516961700000001</v>
      </c>
      <c r="L15" s="57"/>
      <c r="M15" s="57"/>
      <c r="N15" s="57"/>
      <c r="O15" s="57"/>
      <c r="P15" s="57"/>
      <c r="Q15" s="57"/>
    </row>
    <row r="16" spans="1:18" s="46" customFormat="1">
      <c r="A16" s="108" t="s">
        <v>190</v>
      </c>
      <c r="B16" s="485">
        <f t="shared" ref="B16:H16" si="2">B14-B15</f>
        <v>172.2432661</v>
      </c>
      <c r="C16" s="485">
        <f t="shared" si="2"/>
        <v>164.80353220000001</v>
      </c>
      <c r="D16" s="485">
        <f t="shared" si="2"/>
        <v>157.36379829999998</v>
      </c>
      <c r="E16" s="485">
        <f t="shared" si="2"/>
        <v>149.92406439999999</v>
      </c>
      <c r="F16" s="485">
        <f t="shared" si="2"/>
        <v>142.48433049999997</v>
      </c>
      <c r="G16" s="485">
        <f t="shared" si="2"/>
        <v>135.04459659999998</v>
      </c>
      <c r="H16" s="485">
        <f t="shared" si="2"/>
        <v>127.60486269999996</v>
      </c>
      <c r="J16" s="46">
        <v>132.73006226999999</v>
      </c>
      <c r="K16" s="57">
        <f t="shared" si="0"/>
        <v>39.513203830000009</v>
      </c>
    </row>
    <row r="17" spans="1:11" s="46" customFormat="1">
      <c r="A17" s="108"/>
      <c r="B17" s="485"/>
      <c r="C17" s="485"/>
      <c r="D17" s="485"/>
      <c r="E17" s="485"/>
      <c r="F17" s="485"/>
      <c r="G17" s="485"/>
      <c r="H17" s="485"/>
      <c r="K17" s="57">
        <f t="shared" si="0"/>
        <v>0</v>
      </c>
    </row>
    <row r="18" spans="1:11" s="46" customFormat="1">
      <c r="A18" s="113" t="s">
        <v>870</v>
      </c>
      <c r="B18" s="485">
        <f>+'6.Cons Profit &amp; Loss'!B57</f>
        <v>8.4976206024693006</v>
      </c>
      <c r="C18" s="485">
        <f>+B18+'6.Cons Profit &amp; Loss'!C57</f>
        <v>18.258291170907981</v>
      </c>
      <c r="D18" s="485">
        <f>+C18+'6.Cons Profit &amp; Loss'!D57</f>
        <v>28.898498290664691</v>
      </c>
      <c r="E18" s="485">
        <f>+D18+'6.Cons Profit &amp; Loss'!E57</f>
        <v>40.324291492861747</v>
      </c>
      <c r="F18" s="485">
        <f>+E18+'6.Cons Profit &amp; Loss'!F57</f>
        <v>52.40882484393552</v>
      </c>
      <c r="G18" s="485">
        <f>+F18+'6.Cons Profit &amp; Loss'!G57</f>
        <v>66.316609462700967</v>
      </c>
      <c r="H18" s="485">
        <f>+G18+'6.Cons Profit &amp; Loss'!H57</f>
        <v>82.644414528324205</v>
      </c>
      <c r="K18" s="57">
        <f t="shared" si="0"/>
        <v>8.4976206024693006</v>
      </c>
    </row>
    <row r="19" spans="1:11" s="46" customFormat="1">
      <c r="A19" s="108" t="s">
        <v>468</v>
      </c>
      <c r="B19" s="485">
        <f>'8.Cash Flow '!C22-'6.Cons Profit &amp; Loss'!B47</f>
        <v>7.7006999999999994</v>
      </c>
      <c r="C19" s="485">
        <f>B19-'6.Cons Profit &amp; Loss'!C47</f>
        <v>6.4172499999999992</v>
      </c>
      <c r="D19" s="485">
        <f>C19-'6.Cons Profit &amp; Loss'!D47</f>
        <v>5.133799999999999</v>
      </c>
      <c r="E19" s="485">
        <f>D19-'6.Cons Profit &amp; Loss'!E47</f>
        <v>3.8503499999999988</v>
      </c>
      <c r="F19" s="485">
        <f>E19-'6.Cons Profit &amp; Loss'!F47</f>
        <v>2.5668999999999986</v>
      </c>
      <c r="G19" s="485">
        <f>F19-'6.Cons Profit &amp; Loss'!G47</f>
        <v>1.2834499999999986</v>
      </c>
      <c r="H19" s="485">
        <f>G19-'6.Cons Profit &amp; Loss'!H47</f>
        <v>0</v>
      </c>
      <c r="J19" s="46">
        <v>5.9150614285714296</v>
      </c>
      <c r="K19" s="57">
        <f t="shared" si="0"/>
        <v>1.7856385714285699</v>
      </c>
    </row>
    <row r="20" spans="1:11">
      <c r="A20" s="112"/>
      <c r="B20" s="107"/>
      <c r="C20" s="107"/>
      <c r="D20" s="107"/>
      <c r="E20" s="107"/>
      <c r="F20" s="107"/>
      <c r="G20" s="107"/>
      <c r="H20" s="107"/>
      <c r="K20" s="57">
        <f t="shared" si="0"/>
        <v>0</v>
      </c>
    </row>
    <row r="21" spans="1:11">
      <c r="A21" s="113" t="s">
        <v>247</v>
      </c>
      <c r="B21" s="486">
        <f t="shared" ref="B21:H21" si="3">B12+B16+B18+B19</f>
        <v>324.96137557233715</v>
      </c>
      <c r="C21" s="486">
        <f t="shared" si="3"/>
        <v>365.30266504213557</v>
      </c>
      <c r="D21" s="486">
        <f t="shared" si="3"/>
        <v>422.52796701027671</v>
      </c>
      <c r="E21" s="486">
        <f t="shared" si="3"/>
        <v>501.92787053558982</v>
      </c>
      <c r="F21" s="486">
        <f t="shared" si="3"/>
        <v>587.22048048539841</v>
      </c>
      <c r="G21" s="486">
        <f t="shared" si="3"/>
        <v>690.05257172695872</v>
      </c>
      <c r="H21" s="486">
        <f t="shared" si="3"/>
        <v>808.94909422340947</v>
      </c>
      <c r="J21" s="44">
        <v>183.84010318305729</v>
      </c>
      <c r="K21" s="57">
        <f t="shared" si="0"/>
        <v>141.12127238927985</v>
      </c>
    </row>
    <row r="22" spans="1:11">
      <c r="A22" s="103"/>
      <c r="B22" s="487"/>
      <c r="C22" s="487"/>
      <c r="D22" s="487"/>
      <c r="E22" s="487"/>
      <c r="F22" s="487"/>
      <c r="G22" s="487"/>
      <c r="H22" s="487"/>
      <c r="K22" s="57">
        <f t="shared" si="0"/>
        <v>0</v>
      </c>
    </row>
    <row r="23" spans="1:11">
      <c r="A23" s="106" t="s">
        <v>248</v>
      </c>
      <c r="B23" s="109"/>
      <c r="C23" s="109"/>
      <c r="D23" s="109"/>
      <c r="E23" s="109"/>
      <c r="F23" s="109"/>
      <c r="G23" s="109"/>
      <c r="H23" s="109"/>
      <c r="K23" s="57">
        <f t="shared" si="0"/>
        <v>0</v>
      </c>
    </row>
    <row r="24" spans="1:11">
      <c r="A24" s="108" t="s">
        <v>249</v>
      </c>
      <c r="B24" s="109"/>
      <c r="C24" s="109"/>
      <c r="D24" s="109"/>
      <c r="E24" s="109"/>
      <c r="F24" s="109"/>
      <c r="G24" s="109"/>
      <c r="H24" s="109"/>
      <c r="K24" s="57">
        <f t="shared" si="0"/>
        <v>0</v>
      </c>
    </row>
    <row r="25" spans="1:11">
      <c r="A25" s="111" t="s">
        <v>250</v>
      </c>
      <c r="B25" s="485">
        <f>+'5.Closing Stock &amp; W Capital'!E56</f>
        <v>12.596823333333322</v>
      </c>
      <c r="C25" s="485">
        <f>+'5.Closing Stock &amp; W Capital'!F56</f>
        <v>31.884233155607877</v>
      </c>
      <c r="D25" s="485">
        <f>+'5.Closing Stock &amp; W Capital'!G56</f>
        <v>64.825465962574924</v>
      </c>
      <c r="E25" s="485">
        <f>+'5.Closing Stock &amp; W Capital'!H56</f>
        <v>100.95709301134578</v>
      </c>
      <c r="F25" s="485">
        <f>+'5.Closing Stock &amp; W Capital'!I56</f>
        <v>140.53133603156209</v>
      </c>
      <c r="G25" s="485">
        <f>+'5.Closing Stock &amp; W Capital'!J56</f>
        <v>182.58911874659051</v>
      </c>
      <c r="H25" s="485">
        <f>+'5.Closing Stock &amp; W Capital'!K56</f>
        <v>231.47331238295084</v>
      </c>
      <c r="J25" s="44">
        <v>7.2281403721064805</v>
      </c>
      <c r="K25" s="57">
        <f t="shared" si="0"/>
        <v>5.3686829612268419</v>
      </c>
    </row>
    <row r="26" spans="1:11">
      <c r="A26" s="111" t="s">
        <v>251</v>
      </c>
      <c r="B26" s="487">
        <f>+'5.Closing Stock &amp; W Capital'!E54</f>
        <v>98.058679999999995</v>
      </c>
      <c r="C26" s="487">
        <f>+'5.Closing Stock &amp; W Capital'!F54</f>
        <v>101.3098726875</v>
      </c>
      <c r="D26" s="487">
        <f>+'5.Closing Stock &amp; W Capital'!G54</f>
        <v>106.24151230104167</v>
      </c>
      <c r="E26" s="487">
        <f>+'5.Closing Stock &amp; W Capital'!H54</f>
        <v>111.4238114369271</v>
      </c>
      <c r="F26" s="487">
        <f>+'5.Closing Stock &amp; W Capital'!I54</f>
        <v>116.86040052960676</v>
      </c>
      <c r="G26" s="487">
        <f>+'5.Closing Stock &amp; W Capital'!J54</f>
        <v>131.2754269935871</v>
      </c>
      <c r="H26" s="487">
        <f>+'5.Closing Stock &amp; W Capital'!K54</f>
        <v>146.86173896826651</v>
      </c>
      <c r="J26" s="44">
        <v>18.403081548611109</v>
      </c>
      <c r="K26" s="57">
        <f t="shared" si="0"/>
        <v>79.655598451388883</v>
      </c>
    </row>
    <row r="27" spans="1:11" s="45" customFormat="1">
      <c r="A27" s="111" t="s">
        <v>252</v>
      </c>
      <c r="B27" s="485"/>
      <c r="C27" s="485"/>
      <c r="D27" s="485"/>
      <c r="E27" s="485"/>
      <c r="F27" s="485"/>
      <c r="G27" s="485"/>
      <c r="H27" s="485"/>
      <c r="K27" s="57">
        <f t="shared" si="0"/>
        <v>0</v>
      </c>
    </row>
    <row r="28" spans="1:11" s="45" customFormat="1">
      <c r="A28" s="108" t="s">
        <v>253</v>
      </c>
      <c r="B28" s="486">
        <f t="shared" ref="B28:H28" si="4">SUM(B25:B27)</f>
        <v>110.65550333333331</v>
      </c>
      <c r="C28" s="486">
        <f t="shared" si="4"/>
        <v>133.19410584310788</v>
      </c>
      <c r="D28" s="486">
        <f t="shared" si="4"/>
        <v>171.06697826361659</v>
      </c>
      <c r="E28" s="486">
        <f t="shared" si="4"/>
        <v>212.38090444827287</v>
      </c>
      <c r="F28" s="486">
        <f t="shared" si="4"/>
        <v>257.39173656116884</v>
      </c>
      <c r="G28" s="486">
        <f t="shared" si="4"/>
        <v>313.86454574017762</v>
      </c>
      <c r="H28" s="486">
        <f t="shared" si="4"/>
        <v>378.33505135121732</v>
      </c>
      <c r="J28" s="45">
        <v>25.631221920717589</v>
      </c>
      <c r="K28" s="57">
        <f t="shared" si="0"/>
        <v>85.024281412615721</v>
      </c>
    </row>
    <row r="29" spans="1:11" s="45" customFormat="1">
      <c r="A29" s="108" t="s">
        <v>254</v>
      </c>
      <c r="B29" s="486">
        <f>'4.TL repayment sch'!G21</f>
        <v>30.847809119661733</v>
      </c>
      <c r="C29" s="486">
        <f>'4.TL repayment sch'!G33</f>
        <v>16.11492751822329</v>
      </c>
      <c r="D29" s="486">
        <f>'4.TL repayment sch'!G45</f>
        <v>2.886579864025407E-15</v>
      </c>
      <c r="E29" s="486">
        <f>'4.TL repayment sch'!G57</f>
        <v>1.9984014443252818E-15</v>
      </c>
      <c r="F29" s="486">
        <f>'4.TL repayment sch'!G69</f>
        <v>1.9984014443252818E-15</v>
      </c>
      <c r="G29" s="486">
        <f>'4.TL repayment sch'!G81</f>
        <v>1.9984014443252818E-15</v>
      </c>
      <c r="H29" s="486">
        <v>0</v>
      </c>
      <c r="J29" s="45">
        <v>25.378828291103925</v>
      </c>
      <c r="K29" s="57">
        <f t="shared" si="0"/>
        <v>5.4689808285578074</v>
      </c>
    </row>
    <row r="30" spans="1:11" s="45" customFormat="1">
      <c r="A30" s="108" t="s">
        <v>255</v>
      </c>
      <c r="B30" s="486"/>
      <c r="C30" s="486"/>
      <c r="D30" s="486"/>
      <c r="E30" s="486"/>
      <c r="F30" s="486"/>
      <c r="G30" s="486"/>
      <c r="H30" s="486"/>
      <c r="K30" s="57">
        <f t="shared" si="0"/>
        <v>0</v>
      </c>
    </row>
    <row r="31" spans="1:11" s="45" customFormat="1">
      <c r="A31" s="108"/>
      <c r="B31" s="488"/>
      <c r="C31" s="488"/>
      <c r="D31" s="488"/>
      <c r="E31" s="488"/>
      <c r="F31" s="488"/>
      <c r="G31" s="488"/>
      <c r="H31" s="488"/>
      <c r="K31" s="57">
        <f t="shared" si="0"/>
        <v>0</v>
      </c>
    </row>
    <row r="32" spans="1:11">
      <c r="A32" s="113" t="s">
        <v>256</v>
      </c>
      <c r="B32" s="486">
        <f t="shared" ref="B32:H32" si="5">SUM(B28:B30)</f>
        <v>141.50331245299503</v>
      </c>
      <c r="C32" s="486">
        <f t="shared" si="5"/>
        <v>149.30903336133116</v>
      </c>
      <c r="D32" s="486">
        <f t="shared" si="5"/>
        <v>171.06697826361659</v>
      </c>
      <c r="E32" s="486">
        <f t="shared" si="5"/>
        <v>212.38090444827287</v>
      </c>
      <c r="F32" s="486">
        <f t="shared" si="5"/>
        <v>257.39173656116884</v>
      </c>
      <c r="G32" s="486">
        <f t="shared" si="5"/>
        <v>313.86454574017762</v>
      </c>
      <c r="H32" s="486">
        <f t="shared" si="5"/>
        <v>378.33505135121732</v>
      </c>
      <c r="J32" s="44">
        <v>51.010050211821515</v>
      </c>
      <c r="K32" s="57">
        <f t="shared" si="0"/>
        <v>90.493262241173511</v>
      </c>
    </row>
    <row r="33" spans="1:11">
      <c r="A33" s="103"/>
      <c r="B33" s="115"/>
      <c r="C33" s="115"/>
      <c r="D33" s="115"/>
      <c r="E33" s="115"/>
      <c r="F33" s="115"/>
      <c r="G33" s="115"/>
      <c r="H33" s="115"/>
      <c r="K33" s="57">
        <f t="shared" si="0"/>
        <v>0</v>
      </c>
    </row>
    <row r="34" spans="1:11">
      <c r="A34" s="112" t="s">
        <v>257</v>
      </c>
      <c r="B34" s="107">
        <f>'1.Project Cost and MOF'!E21</f>
        <v>41.932371111111109</v>
      </c>
      <c r="C34" s="107">
        <f>B34</f>
        <v>41.932371111111109</v>
      </c>
      <c r="D34" s="107">
        <f t="shared" ref="D34:H35" si="6">C34</f>
        <v>41.932371111111109</v>
      </c>
      <c r="E34" s="107">
        <f t="shared" si="6"/>
        <v>41.932371111111109</v>
      </c>
      <c r="F34" s="107">
        <f t="shared" si="6"/>
        <v>41.932371111111109</v>
      </c>
      <c r="G34" s="107">
        <f t="shared" si="6"/>
        <v>41.932371111111109</v>
      </c>
      <c r="H34" s="107">
        <f t="shared" si="6"/>
        <v>41.932371111111109</v>
      </c>
      <c r="J34" s="44">
        <v>31.393181124035507</v>
      </c>
      <c r="K34" s="57">
        <f t="shared" si="0"/>
        <v>10.539189987075602</v>
      </c>
    </row>
    <row r="35" spans="1:11">
      <c r="A35" s="112" t="s">
        <v>469</v>
      </c>
      <c r="B35" s="107">
        <f>'1.Project Cost and MOF'!E19</f>
        <v>113.20029</v>
      </c>
      <c r="C35" s="107">
        <f>B35</f>
        <v>113.20029</v>
      </c>
      <c r="D35" s="107">
        <f t="shared" si="6"/>
        <v>113.20029</v>
      </c>
      <c r="E35" s="107">
        <f t="shared" si="6"/>
        <v>113.20029</v>
      </c>
      <c r="F35" s="107">
        <f t="shared" si="6"/>
        <v>113.20029</v>
      </c>
      <c r="G35" s="107">
        <f t="shared" si="6"/>
        <v>113.20029</v>
      </c>
      <c r="H35" s="107">
        <f t="shared" si="6"/>
        <v>113.20029</v>
      </c>
      <c r="J35" s="44">
        <v>86.951402999999985</v>
      </c>
      <c r="K35" s="57">
        <f t="shared" si="0"/>
        <v>26.248887000000011</v>
      </c>
    </row>
    <row r="36" spans="1:11">
      <c r="A36" s="108" t="s">
        <v>258</v>
      </c>
      <c r="B36" s="107"/>
      <c r="C36" s="107"/>
      <c r="D36" s="107"/>
      <c r="E36" s="107"/>
      <c r="F36" s="107"/>
      <c r="G36" s="107"/>
      <c r="H36" s="107"/>
      <c r="K36" s="57">
        <f t="shared" si="0"/>
        <v>0</v>
      </c>
    </row>
    <row r="37" spans="1:11">
      <c r="A37" s="112" t="s">
        <v>259</v>
      </c>
      <c r="B37" s="107">
        <v>0</v>
      </c>
      <c r="C37" s="107">
        <f t="shared" ref="C37:H37" si="7">B40</f>
        <v>28.325402008231002</v>
      </c>
      <c r="D37" s="107">
        <f t="shared" si="7"/>
        <v>60.860970569693279</v>
      </c>
      <c r="E37" s="107">
        <f t="shared" si="7"/>
        <v>96.328327635548973</v>
      </c>
      <c r="F37" s="107">
        <f t="shared" si="7"/>
        <v>134.41430497620584</v>
      </c>
      <c r="G37" s="107">
        <f t="shared" si="7"/>
        <v>174.69608281311844</v>
      </c>
      <c r="H37" s="107">
        <f t="shared" si="7"/>
        <v>221.05536487566994</v>
      </c>
      <c r="J37" s="44">
        <v>0</v>
      </c>
      <c r="K37" s="57">
        <f t="shared" si="0"/>
        <v>0</v>
      </c>
    </row>
    <row r="38" spans="1:11">
      <c r="A38" s="112" t="s">
        <v>260</v>
      </c>
      <c r="B38" s="107">
        <f>+'6.Cons Profit &amp; Loss'!B58</f>
        <v>19.827781405761701</v>
      </c>
      <c r="C38" s="107">
        <f>+'6.Cons Profit &amp; Loss'!C58</f>
        <v>22.774897993023593</v>
      </c>
      <c r="D38" s="107">
        <f>+'6.Cons Profit &amp; Loss'!D58</f>
        <v>24.827149946098984</v>
      </c>
      <c r="E38" s="107">
        <f>+'6.Cons Profit &amp; Loss'!E58</f>
        <v>26.660184138459808</v>
      </c>
      <c r="F38" s="107">
        <f>+'6.Cons Profit &amp; Loss'!F58</f>
        <v>28.197244485838812</v>
      </c>
      <c r="G38" s="107">
        <f>+'6.Cons Profit &amp; Loss'!G58</f>
        <v>32.451497443786053</v>
      </c>
      <c r="H38" s="107">
        <f>+'6.Cons Profit &amp; Loss'!H58</f>
        <v>38.098211819787558</v>
      </c>
      <c r="J38" s="44">
        <v>14.485468847200268</v>
      </c>
      <c r="K38" s="57">
        <f t="shared" si="0"/>
        <v>5.3423125585614333</v>
      </c>
    </row>
    <row r="39" spans="1:11">
      <c r="A39" s="634" t="str">
        <f>+'6.Cons Profit &amp; Loss'!A57</f>
        <v>Transfer to Investment reserve</v>
      </c>
      <c r="B39" s="107">
        <f>+'6.Cons Profit &amp; Loss'!B57</f>
        <v>8.4976206024693006</v>
      </c>
      <c r="C39" s="107">
        <f>+'6.Cons Profit &amp; Loss'!C57</f>
        <v>9.7606705684386821</v>
      </c>
      <c r="D39" s="107">
        <f>+'6.Cons Profit &amp; Loss'!D57</f>
        <v>10.640207119756708</v>
      </c>
      <c r="E39" s="107">
        <f>+'6.Cons Profit &amp; Loss'!E57</f>
        <v>11.42579320219706</v>
      </c>
      <c r="F39" s="107">
        <f>+'6.Cons Profit &amp; Loss'!F57</f>
        <v>12.084533351073777</v>
      </c>
      <c r="G39" s="107">
        <f>+'6.Cons Profit &amp; Loss'!G57</f>
        <v>13.907784618765453</v>
      </c>
      <c r="H39" s="107">
        <f>+'6.Cons Profit &amp; Loss'!H57</f>
        <v>16.327805065623238</v>
      </c>
      <c r="K39" s="57">
        <f t="shared" si="0"/>
        <v>8.4976206024693006</v>
      </c>
    </row>
    <row r="40" spans="1:11">
      <c r="A40" s="112" t="s">
        <v>261</v>
      </c>
      <c r="B40" s="107">
        <f>B37+B38+B39</f>
        <v>28.325402008231002</v>
      </c>
      <c r="C40" s="107">
        <f t="shared" ref="C40:H40" si="8">C37+C38+C39</f>
        <v>60.860970569693279</v>
      </c>
      <c r="D40" s="107">
        <f t="shared" si="8"/>
        <v>96.328327635548973</v>
      </c>
      <c r="E40" s="107">
        <f t="shared" si="8"/>
        <v>134.41430497620584</v>
      </c>
      <c r="F40" s="107">
        <f t="shared" si="8"/>
        <v>174.69608281311844</v>
      </c>
      <c r="G40" s="107">
        <f t="shared" si="8"/>
        <v>221.05536487566994</v>
      </c>
      <c r="H40" s="107">
        <f t="shared" si="8"/>
        <v>275.48138176108074</v>
      </c>
      <c r="J40" s="44">
        <v>14.485468847200268</v>
      </c>
      <c r="K40" s="57">
        <f t="shared" si="0"/>
        <v>13.839933161030734</v>
      </c>
    </row>
    <row r="41" spans="1:11">
      <c r="A41" s="112"/>
      <c r="B41" s="109"/>
      <c r="C41" s="109"/>
      <c r="D41" s="109"/>
      <c r="E41" s="109"/>
      <c r="F41" s="109"/>
      <c r="G41" s="109"/>
      <c r="H41" s="109"/>
      <c r="K41" s="57">
        <f t="shared" si="0"/>
        <v>0</v>
      </c>
    </row>
    <row r="42" spans="1:11">
      <c r="A42" s="114" t="s">
        <v>262</v>
      </c>
      <c r="B42" s="489">
        <f t="shared" ref="B42:H42" si="9">B34+B40+B35</f>
        <v>183.45806311934211</v>
      </c>
      <c r="C42" s="489">
        <f t="shared" si="9"/>
        <v>215.99363168080438</v>
      </c>
      <c r="D42" s="489">
        <f t="shared" si="9"/>
        <v>251.46098874666006</v>
      </c>
      <c r="E42" s="489">
        <f t="shared" si="9"/>
        <v>289.54696608731695</v>
      </c>
      <c r="F42" s="489">
        <f t="shared" si="9"/>
        <v>329.82874392422957</v>
      </c>
      <c r="G42" s="489">
        <f t="shared" si="9"/>
        <v>376.18802598678104</v>
      </c>
      <c r="H42" s="489">
        <f t="shared" si="9"/>
        <v>430.61404287219182</v>
      </c>
      <c r="J42" s="44">
        <v>132.83005297123577</v>
      </c>
      <c r="K42" s="57">
        <f t="shared" si="0"/>
        <v>50.628010148106341</v>
      </c>
    </row>
    <row r="43" spans="1:11">
      <c r="A43" s="103"/>
      <c r="B43" s="107"/>
      <c r="C43" s="107"/>
      <c r="D43" s="107"/>
      <c r="E43" s="107"/>
      <c r="F43" s="107"/>
      <c r="G43" s="107"/>
      <c r="H43" s="107"/>
      <c r="K43" s="57">
        <f t="shared" si="0"/>
        <v>0</v>
      </c>
    </row>
    <row r="44" spans="1:11">
      <c r="A44" s="113" t="s">
        <v>263</v>
      </c>
      <c r="B44" s="486">
        <f t="shared" ref="B44:H44" si="10">B32+B42</f>
        <v>324.96137557233715</v>
      </c>
      <c r="C44" s="486">
        <f t="shared" si="10"/>
        <v>365.30266504213557</v>
      </c>
      <c r="D44" s="486">
        <f t="shared" si="10"/>
        <v>422.52796701027665</v>
      </c>
      <c r="E44" s="486">
        <f t="shared" si="10"/>
        <v>501.92787053558982</v>
      </c>
      <c r="F44" s="486">
        <f t="shared" si="10"/>
        <v>587.22048048539841</v>
      </c>
      <c r="G44" s="486">
        <f t="shared" si="10"/>
        <v>690.0525717269586</v>
      </c>
      <c r="H44" s="486">
        <f t="shared" si="10"/>
        <v>808.94909422340913</v>
      </c>
      <c r="J44" s="44">
        <v>183.84010318305729</v>
      </c>
      <c r="K44" s="57">
        <f t="shared" si="0"/>
        <v>141.12127238927985</v>
      </c>
    </row>
    <row r="45" spans="1:11">
      <c r="A45" s="103"/>
      <c r="B45" s="115"/>
      <c r="C45" s="115"/>
      <c r="D45" s="115"/>
      <c r="E45" s="115"/>
      <c r="F45" s="115"/>
      <c r="G45" s="115"/>
      <c r="H45" s="115"/>
    </row>
    <row r="46" spans="1:11">
      <c r="A46" s="116" t="s">
        <v>264</v>
      </c>
      <c r="B46" s="117"/>
      <c r="C46" s="117"/>
      <c r="D46" s="117"/>
      <c r="E46" s="117"/>
      <c r="F46" s="117"/>
      <c r="G46" s="117"/>
      <c r="H46" s="117"/>
    </row>
    <row r="47" spans="1:11">
      <c r="A47" s="118" t="s">
        <v>265</v>
      </c>
      <c r="B47" s="119">
        <f t="shared" ref="B47:H47" si="11">B44-B21</f>
        <v>0</v>
      </c>
      <c r="C47" s="119">
        <f t="shared" si="11"/>
        <v>0</v>
      </c>
      <c r="D47" s="119">
        <f t="shared" si="11"/>
        <v>0</v>
      </c>
      <c r="E47" s="119">
        <f t="shared" si="11"/>
        <v>0</v>
      </c>
      <c r="F47" s="119">
        <f t="shared" si="11"/>
        <v>0</v>
      </c>
      <c r="G47" s="119">
        <f t="shared" si="11"/>
        <v>0</v>
      </c>
      <c r="H47" s="119">
        <f t="shared" si="11"/>
        <v>0</v>
      </c>
    </row>
    <row r="48" spans="1:11">
      <c r="A48" s="118"/>
      <c r="B48" s="119"/>
      <c r="C48" s="119"/>
      <c r="D48" s="119"/>
      <c r="E48" s="119"/>
      <c r="F48" s="119"/>
      <c r="G48" s="119"/>
      <c r="H48" s="119"/>
    </row>
    <row r="49" spans="1:9" ht="15.75" thickBot="1">
      <c r="A49" s="120"/>
      <c r="B49" s="121"/>
      <c r="C49" s="121"/>
      <c r="D49" s="121"/>
      <c r="E49" s="121"/>
      <c r="F49" s="121"/>
      <c r="G49" s="121"/>
      <c r="H49" s="121"/>
    </row>
    <row r="50" spans="1:9">
      <c r="B50" s="47"/>
      <c r="C50" s="47"/>
      <c r="D50" s="47"/>
      <c r="E50" s="47"/>
      <c r="F50" s="47"/>
      <c r="G50" s="47"/>
      <c r="H50" s="47"/>
    </row>
    <row r="51" spans="1:9" ht="39.6" customHeight="1">
      <c r="A51" s="705" t="s">
        <v>389</v>
      </c>
      <c r="B51" s="705"/>
      <c r="C51" s="705"/>
      <c r="D51" s="705"/>
      <c r="E51" s="705"/>
      <c r="F51" s="705"/>
      <c r="G51" s="705"/>
      <c r="H51" s="705"/>
      <c r="I51" s="606"/>
    </row>
  </sheetData>
  <mergeCells count="3">
    <mergeCell ref="A1:F1"/>
    <mergeCell ref="A2:H2"/>
    <mergeCell ref="A51:H51"/>
  </mergeCells>
  <conditionalFormatting sqref="B37:F38 B38:H38 B39">
    <cfRule type="cellIs" dxfId="3" priority="4" operator="lessThan">
      <formula>0</formula>
    </cfRule>
  </conditionalFormatting>
  <conditionalFormatting sqref="G37:G38">
    <cfRule type="cellIs" dxfId="2" priority="3" operator="lessThan">
      <formula>0</formula>
    </cfRule>
  </conditionalFormatting>
  <conditionalFormatting sqref="H37:H38">
    <cfRule type="cellIs" dxfId="1" priority="2" operator="lessThan">
      <formula>0</formula>
    </cfRule>
  </conditionalFormatting>
  <conditionalFormatting sqref="C39:H39">
    <cfRule type="cellIs" dxfId="0" priority="1" operator="lessThan">
      <formula>0</formula>
    </cfRule>
  </conditionalFormatting>
  <pageMargins left="0.7" right="0.7" top="0.75" bottom="0.75" header="0.3" footer="0.3"/>
  <pageSetup scale="6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7"/>
  <sheetViews>
    <sheetView view="pageBreakPreview" topLeftCell="A81" zoomScale="70" zoomScaleSheetLayoutView="70" workbookViewId="0">
      <selection activeCell="B87" sqref="B87:H92"/>
    </sheetView>
  </sheetViews>
  <sheetFormatPr defaultRowHeight="15"/>
  <cols>
    <col min="1" max="1" width="30.140625" customWidth="1"/>
    <col min="2" max="2" width="11.140625" customWidth="1"/>
    <col min="3" max="3" width="12.140625" style="18" bestFit="1" customWidth="1"/>
    <col min="4" max="9" width="11.140625" style="18" customWidth="1"/>
    <col min="10" max="10" width="14.7109375" customWidth="1"/>
    <col min="11" max="11" width="14.85546875" style="18" customWidth="1"/>
    <col min="12" max="13" width="11.7109375" style="18" bestFit="1" customWidth="1"/>
    <col min="14" max="16" width="10.5703125" style="18" bestFit="1" customWidth="1"/>
    <col min="17" max="17" width="17.28515625" style="18" bestFit="1" customWidth="1"/>
    <col min="18" max="18" width="9.140625" style="18"/>
  </cols>
  <sheetData>
    <row r="2" spans="1:18" ht="18.75">
      <c r="A2" s="674" t="s">
        <v>496</v>
      </c>
      <c r="B2" s="674"/>
      <c r="C2" s="674"/>
      <c r="D2" s="674"/>
      <c r="E2" s="674"/>
      <c r="F2" s="674"/>
      <c r="G2" s="674"/>
      <c r="H2" s="674"/>
      <c r="I2" s="674"/>
      <c r="J2" s="554"/>
      <c r="K2" s="554"/>
    </row>
    <row r="3" spans="1:18">
      <c r="C3" s="451">
        <v>1</v>
      </c>
      <c r="D3" s="451">
        <v>1.05</v>
      </c>
      <c r="E3" s="451">
        <f>+D3*1.05</f>
        <v>1.1025</v>
      </c>
      <c r="F3" s="451">
        <f t="shared" ref="F3:I3" si="0">+E3*1.05</f>
        <v>1.1576250000000001</v>
      </c>
      <c r="G3" s="451">
        <f t="shared" si="0"/>
        <v>1.2155062500000002</v>
      </c>
      <c r="H3" s="451">
        <f t="shared" si="0"/>
        <v>1.2762815625000004</v>
      </c>
      <c r="I3" s="451">
        <f t="shared" si="0"/>
        <v>1.3400956406250004</v>
      </c>
    </row>
    <row r="4" spans="1:18" s="249" customFormat="1">
      <c r="A4" s="135" t="s">
        <v>0</v>
      </c>
      <c r="B4" s="122" t="s">
        <v>714</v>
      </c>
      <c r="C4" s="454" t="s">
        <v>2</v>
      </c>
      <c r="D4" s="454" t="s">
        <v>3</v>
      </c>
      <c r="E4" s="454" t="s">
        <v>4</v>
      </c>
      <c r="F4" s="454" t="s">
        <v>5</v>
      </c>
      <c r="G4" s="454" t="s">
        <v>6</v>
      </c>
      <c r="H4" s="454" t="s">
        <v>163</v>
      </c>
      <c r="I4" s="454" t="s">
        <v>162</v>
      </c>
      <c r="J4" s="509"/>
      <c r="K4" s="510"/>
      <c r="L4" s="510"/>
      <c r="M4" s="510"/>
      <c r="N4" s="510"/>
      <c r="O4" s="510"/>
      <c r="P4" s="510"/>
      <c r="Q4" s="510"/>
      <c r="R4" s="511"/>
    </row>
    <row r="5" spans="1:18">
      <c r="A5" s="282" t="s">
        <v>682</v>
      </c>
      <c r="B5" s="365"/>
      <c r="C5" s="452"/>
      <c r="D5" s="452"/>
      <c r="E5" s="452"/>
      <c r="F5" s="452"/>
      <c r="G5" s="452"/>
      <c r="H5" s="452"/>
      <c r="I5" s="452"/>
      <c r="J5" s="372"/>
      <c r="K5" s="475"/>
      <c r="L5" s="475"/>
    </row>
    <row r="6" spans="1:18">
      <c r="A6" s="133" t="s">
        <v>683</v>
      </c>
      <c r="B6" s="133" t="s">
        <v>684</v>
      </c>
      <c r="C6" s="457">
        <f>2000*12/100000</f>
        <v>0.24</v>
      </c>
      <c r="D6" s="457">
        <f t="shared" ref="D6:I6" si="1">+$C$6*D3</f>
        <v>0.252</v>
      </c>
      <c r="E6" s="457">
        <f t="shared" si="1"/>
        <v>0.2646</v>
      </c>
      <c r="F6" s="457">
        <f t="shared" si="1"/>
        <v>0.27783000000000002</v>
      </c>
      <c r="G6" s="457">
        <f t="shared" si="1"/>
        <v>0.29172150000000002</v>
      </c>
      <c r="H6" s="457">
        <f t="shared" si="1"/>
        <v>0.30630757500000005</v>
      </c>
      <c r="I6" s="457">
        <f t="shared" si="1"/>
        <v>0.32162295375000011</v>
      </c>
      <c r="J6" s="373"/>
      <c r="K6" s="476"/>
      <c r="L6" s="476"/>
    </row>
    <row r="7" spans="1:18">
      <c r="A7" s="133" t="s">
        <v>685</v>
      </c>
      <c r="B7" s="133" t="s">
        <v>686</v>
      </c>
      <c r="C7" s="457">
        <f>1000*12/100000</f>
        <v>0.12</v>
      </c>
      <c r="D7" s="457">
        <f t="shared" ref="D7:I7" si="2">+$C$7*D3</f>
        <v>0.126</v>
      </c>
      <c r="E7" s="457">
        <f t="shared" si="2"/>
        <v>0.1323</v>
      </c>
      <c r="F7" s="457">
        <f t="shared" si="2"/>
        <v>0.13891500000000001</v>
      </c>
      <c r="G7" s="457">
        <f t="shared" si="2"/>
        <v>0.14586075000000001</v>
      </c>
      <c r="H7" s="457">
        <f t="shared" si="2"/>
        <v>0.15315378750000003</v>
      </c>
      <c r="I7" s="457">
        <f t="shared" si="2"/>
        <v>0.16081147687500005</v>
      </c>
      <c r="J7" s="373"/>
      <c r="K7" s="476"/>
      <c r="L7" s="476"/>
    </row>
    <row r="8" spans="1:18">
      <c r="A8" s="133" t="s">
        <v>687</v>
      </c>
      <c r="B8" s="133" t="s">
        <v>688</v>
      </c>
      <c r="C8" s="457">
        <v>0.03</v>
      </c>
      <c r="D8" s="457">
        <f>C8</f>
        <v>0.03</v>
      </c>
      <c r="E8" s="457">
        <f t="shared" ref="E8:I8" si="3">D8</f>
        <v>0.03</v>
      </c>
      <c r="F8" s="457">
        <f t="shared" si="3"/>
        <v>0.03</v>
      </c>
      <c r="G8" s="457">
        <f t="shared" si="3"/>
        <v>0.03</v>
      </c>
      <c r="H8" s="457">
        <f t="shared" si="3"/>
        <v>0.03</v>
      </c>
      <c r="I8" s="457">
        <f t="shared" si="3"/>
        <v>0.03</v>
      </c>
      <c r="J8" s="373"/>
      <c r="K8" s="476"/>
      <c r="L8" s="476"/>
    </row>
    <row r="9" spans="1:18">
      <c r="A9" s="133" t="s">
        <v>689</v>
      </c>
      <c r="B9" s="133" t="s">
        <v>690</v>
      </c>
      <c r="C9" s="457">
        <v>0.15</v>
      </c>
      <c r="D9" s="457">
        <f t="shared" ref="D9:I9" si="4">+$C$9*D3</f>
        <v>0.1575</v>
      </c>
      <c r="E9" s="457">
        <f t="shared" si="4"/>
        <v>0.16537499999999999</v>
      </c>
      <c r="F9" s="457">
        <f t="shared" si="4"/>
        <v>0.17364375000000001</v>
      </c>
      <c r="G9" s="457">
        <f t="shared" si="4"/>
        <v>0.18232593750000003</v>
      </c>
      <c r="H9" s="457">
        <f t="shared" si="4"/>
        <v>0.19144223437500005</v>
      </c>
      <c r="I9" s="457">
        <f t="shared" si="4"/>
        <v>0.20101434609375005</v>
      </c>
      <c r="J9" s="373"/>
      <c r="K9" s="476"/>
      <c r="L9" s="476"/>
    </row>
    <row r="10" spans="1:18">
      <c r="A10" s="133" t="s">
        <v>691</v>
      </c>
      <c r="B10" s="133" t="s">
        <v>692</v>
      </c>
      <c r="C10" s="457">
        <f>+'Input Sheet'!$E$203/100000</f>
        <v>0.12</v>
      </c>
      <c r="D10" s="457">
        <f t="shared" ref="D10:I10" si="5">+$C$10*D3</f>
        <v>0.126</v>
      </c>
      <c r="E10" s="457">
        <f t="shared" si="5"/>
        <v>0.1323</v>
      </c>
      <c r="F10" s="457">
        <f t="shared" si="5"/>
        <v>0.13891500000000001</v>
      </c>
      <c r="G10" s="457">
        <f t="shared" si="5"/>
        <v>0.14586075000000001</v>
      </c>
      <c r="H10" s="457">
        <f t="shared" si="5"/>
        <v>0.15315378750000003</v>
      </c>
      <c r="I10" s="457">
        <f t="shared" si="5"/>
        <v>0.16081147687500005</v>
      </c>
      <c r="J10" s="373"/>
      <c r="K10" s="476"/>
      <c r="L10" s="476"/>
    </row>
    <row r="11" spans="1:18">
      <c r="A11" s="133" t="s">
        <v>693</v>
      </c>
      <c r="B11" s="133" t="s">
        <v>694</v>
      </c>
      <c r="C11" s="457">
        <f>3000*12/100000</f>
        <v>0.36</v>
      </c>
      <c r="D11" s="457">
        <f>+$C11*D$3</f>
        <v>0.378</v>
      </c>
      <c r="E11" s="457">
        <f t="shared" ref="E11:I12" si="6">+$C11*E$3</f>
        <v>0.39689999999999998</v>
      </c>
      <c r="F11" s="457">
        <f t="shared" si="6"/>
        <v>0.41674500000000003</v>
      </c>
      <c r="G11" s="457">
        <f t="shared" si="6"/>
        <v>0.43758225000000006</v>
      </c>
      <c r="H11" s="457">
        <f t="shared" si="6"/>
        <v>0.45946136250000014</v>
      </c>
      <c r="I11" s="457">
        <f t="shared" si="6"/>
        <v>0.48243443062500013</v>
      </c>
      <c r="J11" s="373"/>
      <c r="K11" s="476"/>
      <c r="L11" s="476"/>
    </row>
    <row r="12" spans="1:18">
      <c r="A12" s="133" t="s">
        <v>695</v>
      </c>
      <c r="B12" s="133" t="s">
        <v>694</v>
      </c>
      <c r="C12" s="457">
        <f>3000*12/100000</f>
        <v>0.36</v>
      </c>
      <c r="D12" s="457">
        <f t="shared" ref="D12:I17" si="7">+$C12*D$3</f>
        <v>0.378</v>
      </c>
      <c r="E12" s="457">
        <f t="shared" si="6"/>
        <v>0.39689999999999998</v>
      </c>
      <c r="F12" s="457">
        <f t="shared" si="6"/>
        <v>0.41674500000000003</v>
      </c>
      <c r="G12" s="457">
        <f t="shared" si="6"/>
        <v>0.43758225000000006</v>
      </c>
      <c r="H12" s="457">
        <f t="shared" si="6"/>
        <v>0.45946136250000014</v>
      </c>
      <c r="I12" s="457">
        <f t="shared" si="6"/>
        <v>0.48243443062500013</v>
      </c>
      <c r="J12" s="373"/>
      <c r="K12" s="476"/>
      <c r="L12" s="476"/>
    </row>
    <row r="13" spans="1:18">
      <c r="A13" s="133" t="s">
        <v>696</v>
      </c>
      <c r="B13" s="133" t="s">
        <v>697</v>
      </c>
      <c r="C13" s="457">
        <f>+'Input Sheet'!H180+'Input Sheet'!H181+'Input Sheet'!H182+'Input Sheet'!H183</f>
        <v>4.4399999999999995</v>
      </c>
      <c r="D13" s="457">
        <f t="shared" si="7"/>
        <v>4.6619999999999999</v>
      </c>
      <c r="E13" s="457">
        <f t="shared" si="7"/>
        <v>4.8950999999999993</v>
      </c>
      <c r="F13" s="457">
        <f t="shared" si="7"/>
        <v>5.1398549999999998</v>
      </c>
      <c r="G13" s="457">
        <f t="shared" si="7"/>
        <v>5.3968477500000001</v>
      </c>
      <c r="H13" s="457">
        <f t="shared" si="7"/>
        <v>5.6666901375000007</v>
      </c>
      <c r="I13" s="457">
        <f t="shared" si="7"/>
        <v>5.9500246443750013</v>
      </c>
      <c r="J13" s="373"/>
      <c r="K13" s="476"/>
      <c r="L13" s="476"/>
    </row>
    <row r="14" spans="1:18">
      <c r="A14" s="133" t="s">
        <v>698</v>
      </c>
      <c r="B14" s="133" t="s">
        <v>699</v>
      </c>
      <c r="C14" s="457">
        <f>5000*12/100000</f>
        <v>0.6</v>
      </c>
      <c r="D14" s="457">
        <f t="shared" si="7"/>
        <v>0.63</v>
      </c>
      <c r="E14" s="457">
        <f t="shared" si="7"/>
        <v>0.66149999999999998</v>
      </c>
      <c r="F14" s="457">
        <f t="shared" si="7"/>
        <v>0.69457500000000005</v>
      </c>
      <c r="G14" s="457">
        <f t="shared" si="7"/>
        <v>0.72930375000000014</v>
      </c>
      <c r="H14" s="457">
        <f t="shared" si="7"/>
        <v>0.76576893750000019</v>
      </c>
      <c r="I14" s="457">
        <f t="shared" si="7"/>
        <v>0.80405738437500018</v>
      </c>
      <c r="J14" s="373"/>
      <c r="K14" s="476"/>
      <c r="L14" s="476"/>
    </row>
    <row r="15" spans="1:18">
      <c r="A15" s="133" t="s">
        <v>700</v>
      </c>
      <c r="B15" s="133" t="s">
        <v>699</v>
      </c>
      <c r="C15" s="457">
        <f>5000*12/100000</f>
        <v>0.6</v>
      </c>
      <c r="D15" s="457">
        <f t="shared" si="7"/>
        <v>0.63</v>
      </c>
      <c r="E15" s="457">
        <f t="shared" si="7"/>
        <v>0.66149999999999998</v>
      </c>
      <c r="F15" s="457">
        <f t="shared" si="7"/>
        <v>0.69457500000000005</v>
      </c>
      <c r="G15" s="457">
        <f t="shared" si="7"/>
        <v>0.72930375000000014</v>
      </c>
      <c r="H15" s="457">
        <f t="shared" si="7"/>
        <v>0.76576893750000019</v>
      </c>
      <c r="I15" s="457">
        <f t="shared" si="7"/>
        <v>0.80405738437500018</v>
      </c>
      <c r="J15" s="373"/>
      <c r="K15" s="476"/>
      <c r="L15" s="476"/>
    </row>
    <row r="16" spans="1:18">
      <c r="A16" s="133" t="s">
        <v>701</v>
      </c>
      <c r="B16" s="133" t="s">
        <v>702</v>
      </c>
      <c r="C16" s="457">
        <v>0.12</v>
      </c>
      <c r="D16" s="457">
        <f t="shared" si="7"/>
        <v>0.126</v>
      </c>
      <c r="E16" s="457">
        <f t="shared" si="7"/>
        <v>0.1323</v>
      </c>
      <c r="F16" s="457">
        <f t="shared" si="7"/>
        <v>0.13891500000000001</v>
      </c>
      <c r="G16" s="457">
        <f t="shared" si="7"/>
        <v>0.14586075000000001</v>
      </c>
      <c r="H16" s="457">
        <f t="shared" si="7"/>
        <v>0.15315378750000003</v>
      </c>
      <c r="I16" s="457">
        <f t="shared" si="7"/>
        <v>0.16081147687500005</v>
      </c>
      <c r="J16" s="373"/>
      <c r="K16" s="476"/>
      <c r="L16" s="476"/>
    </row>
    <row r="17" spans="1:18">
      <c r="A17" s="133" t="s">
        <v>703</v>
      </c>
      <c r="B17" s="133" t="s">
        <v>704</v>
      </c>
      <c r="C17" s="457">
        <f t="shared" ref="C17" si="8">C13*0.1</f>
        <v>0.44399999999999995</v>
      </c>
      <c r="D17" s="457">
        <f t="shared" si="7"/>
        <v>0.46619999999999995</v>
      </c>
      <c r="E17" s="457">
        <f t="shared" si="7"/>
        <v>0.48950999999999995</v>
      </c>
      <c r="F17" s="457">
        <f t="shared" si="7"/>
        <v>0.51398549999999998</v>
      </c>
      <c r="G17" s="457">
        <f t="shared" si="7"/>
        <v>0.53968477500000001</v>
      </c>
      <c r="H17" s="457">
        <f t="shared" si="7"/>
        <v>0.56666901375000012</v>
      </c>
      <c r="I17" s="457">
        <f t="shared" si="7"/>
        <v>0.59500246443750016</v>
      </c>
      <c r="J17" s="373"/>
      <c r="K17" s="476"/>
      <c r="L17" s="476"/>
    </row>
    <row r="18" spans="1:18">
      <c r="A18" s="282" t="s">
        <v>705</v>
      </c>
      <c r="B18" s="364"/>
      <c r="C18" s="458">
        <f t="shared" ref="C18:I18" si="9">SUM(C6:C17)</f>
        <v>7.5839999999999987</v>
      </c>
      <c r="D18" s="458">
        <f t="shared" si="9"/>
        <v>7.9617000000000004</v>
      </c>
      <c r="E18" s="458">
        <f t="shared" si="9"/>
        <v>8.3582849999999986</v>
      </c>
      <c r="F18" s="458">
        <f t="shared" si="9"/>
        <v>8.7746992500000012</v>
      </c>
      <c r="G18" s="458">
        <f t="shared" si="9"/>
        <v>9.211934212500001</v>
      </c>
      <c r="H18" s="458">
        <f t="shared" si="9"/>
        <v>9.6710309231250022</v>
      </c>
      <c r="I18" s="458">
        <f t="shared" si="9"/>
        <v>10.153082469281253</v>
      </c>
      <c r="J18" s="374"/>
      <c r="K18" s="477"/>
      <c r="L18" s="477"/>
    </row>
    <row r="20" spans="1:18">
      <c r="A20" s="703"/>
      <c r="B20" s="703"/>
      <c r="C20" s="703"/>
      <c r="D20" s="703"/>
      <c r="E20" s="703"/>
      <c r="F20" s="703"/>
      <c r="G20" s="703"/>
      <c r="H20" s="703"/>
      <c r="I20" s="703"/>
      <c r="J20" s="703"/>
      <c r="K20" s="703"/>
      <c r="L20" s="703"/>
      <c r="M20" s="703"/>
      <c r="N20" s="703"/>
      <c r="O20" s="703"/>
    </row>
    <row r="21" spans="1:18" ht="18.75">
      <c r="A21" s="706" t="s">
        <v>497</v>
      </c>
      <c r="B21" s="706"/>
      <c r="C21" s="706"/>
      <c r="D21" s="706"/>
      <c r="E21" s="706"/>
      <c r="F21" s="706"/>
      <c r="G21" s="706"/>
      <c r="H21" s="706"/>
      <c r="I21" s="706"/>
      <c r="J21" s="706"/>
      <c r="K21" s="706"/>
      <c r="L21" s="706"/>
      <c r="M21" s="706"/>
      <c r="N21" s="706"/>
      <c r="O21" s="706"/>
      <c r="P21" s="706"/>
      <c r="Q21" s="706"/>
    </row>
    <row r="22" spans="1:18" s="13" customFormat="1">
      <c r="A22" s="123"/>
      <c r="B22" s="123"/>
      <c r="C22" s="453"/>
      <c r="D22" s="453"/>
      <c r="E22" s="453"/>
      <c r="F22" s="453"/>
      <c r="G22" s="453"/>
      <c r="H22" s="453"/>
      <c r="I22" s="453"/>
      <c r="J22" s="123"/>
      <c r="K22" s="453"/>
      <c r="L22" s="453"/>
      <c r="M22" s="453"/>
      <c r="N22" s="453"/>
      <c r="O22" s="453"/>
      <c r="P22" s="478"/>
      <c r="Q22" s="478"/>
      <c r="R22" s="478"/>
    </row>
    <row r="23" spans="1:18">
      <c r="A23" s="79"/>
      <c r="B23" s="79"/>
      <c r="C23" s="708" t="s">
        <v>185</v>
      </c>
      <c r="D23" s="708"/>
      <c r="E23" s="708"/>
      <c r="F23" s="708"/>
      <c r="G23" s="708"/>
      <c r="H23" s="708"/>
      <c r="I23" s="708"/>
      <c r="J23" s="79"/>
      <c r="K23" s="709" t="s">
        <v>186</v>
      </c>
      <c r="L23" s="709"/>
      <c r="M23" s="709"/>
      <c r="N23" s="709"/>
      <c r="O23" s="709"/>
      <c r="P23" s="709"/>
      <c r="Q23" s="709"/>
    </row>
    <row r="24" spans="1:18">
      <c r="A24" s="135" t="s">
        <v>0</v>
      </c>
      <c r="B24" s="131"/>
      <c r="C24" s="454" t="s">
        <v>2</v>
      </c>
      <c r="D24" s="454" t="s">
        <v>3</v>
      </c>
      <c r="E24" s="454" t="s">
        <v>4</v>
      </c>
      <c r="F24" s="454" t="s">
        <v>5</v>
      </c>
      <c r="G24" s="454" t="s">
        <v>6</v>
      </c>
      <c r="H24" s="454" t="s">
        <v>163</v>
      </c>
      <c r="I24" s="454" t="s">
        <v>162</v>
      </c>
      <c r="J24" s="136"/>
      <c r="K24" s="454" t="s">
        <v>2</v>
      </c>
      <c r="L24" s="454" t="s">
        <v>3</v>
      </c>
      <c r="M24" s="454" t="s">
        <v>4</v>
      </c>
      <c r="N24" s="454" t="s">
        <v>5</v>
      </c>
      <c r="O24" s="454" t="s">
        <v>6</v>
      </c>
      <c r="P24" s="454" t="s">
        <v>163</v>
      </c>
      <c r="Q24" s="454" t="s">
        <v>162</v>
      </c>
    </row>
    <row r="25" spans="1:18">
      <c r="A25" s="132" t="s">
        <v>187</v>
      </c>
      <c r="B25" s="84"/>
      <c r="C25" s="455"/>
      <c r="D25" s="455"/>
      <c r="E25" s="455"/>
      <c r="F25" s="455"/>
      <c r="G25" s="456"/>
      <c r="H25" s="456"/>
      <c r="I25" s="456"/>
      <c r="J25" s="84"/>
      <c r="K25" s="455"/>
      <c r="L25" s="455"/>
      <c r="M25" s="455"/>
      <c r="N25" s="455"/>
      <c r="O25" s="456"/>
      <c r="P25" s="456"/>
      <c r="Q25" s="456"/>
    </row>
    <row r="26" spans="1:18">
      <c r="A26" s="132"/>
      <c r="B26" s="84"/>
      <c r="C26" s="455"/>
      <c r="D26" s="455"/>
      <c r="E26" s="455"/>
      <c r="F26" s="455"/>
      <c r="G26" s="456"/>
      <c r="H26" s="456"/>
      <c r="I26" s="456"/>
      <c r="J26" s="84"/>
      <c r="K26" s="455"/>
      <c r="L26" s="455"/>
      <c r="M26" s="455"/>
      <c r="N26" s="455"/>
      <c r="O26" s="456"/>
      <c r="P26" s="456"/>
      <c r="Q26" s="456"/>
    </row>
    <row r="27" spans="1:18">
      <c r="A27" s="133"/>
      <c r="B27" s="133"/>
      <c r="C27" s="455"/>
      <c r="D27" s="455"/>
      <c r="E27" s="455"/>
      <c r="F27" s="455"/>
      <c r="G27" s="455"/>
      <c r="H27" s="455"/>
      <c r="I27" s="455"/>
      <c r="J27" s="84"/>
      <c r="K27" s="455"/>
      <c r="L27" s="455"/>
      <c r="M27" s="455"/>
      <c r="N27" s="455"/>
      <c r="O27" s="455"/>
      <c r="P27" s="455"/>
      <c r="Q27" s="455"/>
    </row>
    <row r="28" spans="1:18">
      <c r="A28" s="134" t="s">
        <v>191</v>
      </c>
      <c r="B28" s="134"/>
      <c r="C28" s="455"/>
      <c r="D28" s="455"/>
      <c r="E28" s="455"/>
      <c r="F28" s="455"/>
      <c r="G28" s="455"/>
      <c r="H28" s="455"/>
      <c r="I28" s="455"/>
      <c r="J28" s="84"/>
      <c r="K28" s="455"/>
      <c r="L28" s="455"/>
      <c r="M28" s="455"/>
      <c r="N28" s="455"/>
      <c r="O28" s="455"/>
      <c r="P28" s="455"/>
      <c r="Q28" s="455"/>
    </row>
    <row r="29" spans="1:18">
      <c r="A29" s="133" t="s">
        <v>188</v>
      </c>
      <c r="B29" s="133"/>
      <c r="C29" s="457">
        <f>'1.Project Cost and MOF'!D5</f>
        <v>124.5</v>
      </c>
      <c r="D29" s="457">
        <f t="shared" ref="D29:I29" si="10">C32</f>
        <v>120.55334999999999</v>
      </c>
      <c r="E29" s="457">
        <f t="shared" si="10"/>
        <v>116.60669999999999</v>
      </c>
      <c r="F29" s="457">
        <f t="shared" si="10"/>
        <v>112.66004999999998</v>
      </c>
      <c r="G29" s="457">
        <f t="shared" si="10"/>
        <v>108.71339999999998</v>
      </c>
      <c r="H29" s="457">
        <f t="shared" si="10"/>
        <v>104.76674999999997</v>
      </c>
      <c r="I29" s="457">
        <f t="shared" si="10"/>
        <v>100.82009999999997</v>
      </c>
      <c r="J29" s="84"/>
      <c r="K29" s="457">
        <f>C29</f>
        <v>124.5</v>
      </c>
      <c r="L29" s="457">
        <f t="shared" ref="L29:Q29" si="11">K32</f>
        <v>112.05</v>
      </c>
      <c r="M29" s="457">
        <f t="shared" si="11"/>
        <v>100.845</v>
      </c>
      <c r="N29" s="457">
        <f t="shared" si="11"/>
        <v>90.760499999999993</v>
      </c>
      <c r="O29" s="457">
        <f t="shared" si="11"/>
        <v>81.684449999999998</v>
      </c>
      <c r="P29" s="457">
        <f t="shared" si="11"/>
        <v>73.516004999999993</v>
      </c>
      <c r="Q29" s="457">
        <f t="shared" si="11"/>
        <v>66.164404499999989</v>
      </c>
    </row>
    <row r="30" spans="1:18">
      <c r="A30" s="133" t="s">
        <v>16</v>
      </c>
      <c r="B30" s="133"/>
      <c r="C30" s="457">
        <f t="shared" ref="C30:I30" si="12">$C$29*$B$66</f>
        <v>3.94665</v>
      </c>
      <c r="D30" s="457">
        <f t="shared" si="12"/>
        <v>3.94665</v>
      </c>
      <c r="E30" s="457">
        <f t="shared" si="12"/>
        <v>3.94665</v>
      </c>
      <c r="F30" s="457">
        <f t="shared" si="12"/>
        <v>3.94665</v>
      </c>
      <c r="G30" s="457">
        <f t="shared" si="12"/>
        <v>3.94665</v>
      </c>
      <c r="H30" s="457">
        <f t="shared" si="12"/>
        <v>3.94665</v>
      </c>
      <c r="I30" s="457">
        <f t="shared" si="12"/>
        <v>3.94665</v>
      </c>
      <c r="J30" s="84"/>
      <c r="K30" s="457">
        <f t="shared" ref="K30:Q30" si="13">K29*$C$66</f>
        <v>12.450000000000001</v>
      </c>
      <c r="L30" s="457">
        <f t="shared" si="13"/>
        <v>11.205</v>
      </c>
      <c r="M30" s="457">
        <f t="shared" si="13"/>
        <v>10.0845</v>
      </c>
      <c r="N30" s="457">
        <f t="shared" si="13"/>
        <v>9.0760500000000004</v>
      </c>
      <c r="O30" s="457">
        <f t="shared" si="13"/>
        <v>8.1684450000000002</v>
      </c>
      <c r="P30" s="457">
        <f t="shared" si="13"/>
        <v>7.3516005</v>
      </c>
      <c r="Q30" s="457">
        <f t="shared" si="13"/>
        <v>6.6164404499999989</v>
      </c>
    </row>
    <row r="31" spans="1:18">
      <c r="A31" s="133" t="s">
        <v>189</v>
      </c>
      <c r="B31" s="133"/>
      <c r="C31" s="457">
        <f>C30</f>
        <v>3.94665</v>
      </c>
      <c r="D31" s="457">
        <f t="shared" ref="D31:I31" si="14">C31+D30</f>
        <v>7.8933</v>
      </c>
      <c r="E31" s="457">
        <f t="shared" si="14"/>
        <v>11.83995</v>
      </c>
      <c r="F31" s="457">
        <f t="shared" si="14"/>
        <v>15.7866</v>
      </c>
      <c r="G31" s="457">
        <f t="shared" si="14"/>
        <v>19.733249999999998</v>
      </c>
      <c r="H31" s="457">
        <f t="shared" si="14"/>
        <v>23.679899999999996</v>
      </c>
      <c r="I31" s="457">
        <f t="shared" si="14"/>
        <v>27.626549999999995</v>
      </c>
      <c r="J31" s="84"/>
      <c r="K31" s="457">
        <f>K30</f>
        <v>12.450000000000001</v>
      </c>
      <c r="L31" s="457">
        <f t="shared" ref="L31:Q31" si="15">K31+L30</f>
        <v>23.655000000000001</v>
      </c>
      <c r="M31" s="457">
        <f t="shared" si="15"/>
        <v>33.7395</v>
      </c>
      <c r="N31" s="457">
        <f t="shared" si="15"/>
        <v>42.815550000000002</v>
      </c>
      <c r="O31" s="457">
        <f t="shared" si="15"/>
        <v>50.983995</v>
      </c>
      <c r="P31" s="457">
        <f t="shared" si="15"/>
        <v>58.335595499999997</v>
      </c>
      <c r="Q31" s="457">
        <f t="shared" si="15"/>
        <v>64.952035949999996</v>
      </c>
    </row>
    <row r="32" spans="1:18">
      <c r="A32" s="133" t="s">
        <v>190</v>
      </c>
      <c r="B32" s="133"/>
      <c r="C32" s="457">
        <f t="shared" ref="C32:I32" si="16">C29-C30</f>
        <v>120.55334999999999</v>
      </c>
      <c r="D32" s="457">
        <f t="shared" si="16"/>
        <v>116.60669999999999</v>
      </c>
      <c r="E32" s="457">
        <f t="shared" si="16"/>
        <v>112.66004999999998</v>
      </c>
      <c r="F32" s="457">
        <f t="shared" si="16"/>
        <v>108.71339999999998</v>
      </c>
      <c r="G32" s="457">
        <f t="shared" si="16"/>
        <v>104.76674999999997</v>
      </c>
      <c r="H32" s="457">
        <f t="shared" si="16"/>
        <v>100.82009999999997</v>
      </c>
      <c r="I32" s="457">
        <f t="shared" si="16"/>
        <v>96.873449999999963</v>
      </c>
      <c r="J32" s="84"/>
      <c r="K32" s="457">
        <f t="shared" ref="K32:Q32" si="17">K29-K30</f>
        <v>112.05</v>
      </c>
      <c r="L32" s="457">
        <f t="shared" si="17"/>
        <v>100.845</v>
      </c>
      <c r="M32" s="457">
        <f t="shared" si="17"/>
        <v>90.760499999999993</v>
      </c>
      <c r="N32" s="457">
        <f t="shared" si="17"/>
        <v>81.684449999999998</v>
      </c>
      <c r="O32" s="457">
        <f t="shared" si="17"/>
        <v>73.516004999999993</v>
      </c>
      <c r="P32" s="457">
        <f t="shared" si="17"/>
        <v>66.164404499999989</v>
      </c>
      <c r="Q32" s="457">
        <f t="shared" si="17"/>
        <v>59.54796404999999</v>
      </c>
    </row>
    <row r="33" spans="1:17">
      <c r="A33" s="133"/>
      <c r="B33" s="133"/>
      <c r="C33" s="457"/>
      <c r="D33" s="457"/>
      <c r="E33" s="457"/>
      <c r="F33" s="457"/>
      <c r="G33" s="457"/>
      <c r="H33" s="457"/>
      <c r="I33" s="457"/>
      <c r="J33" s="84"/>
      <c r="K33" s="457"/>
      <c r="L33" s="457"/>
      <c r="M33" s="457"/>
      <c r="N33" s="457"/>
      <c r="O33" s="457"/>
      <c r="P33" s="457"/>
      <c r="Q33" s="457"/>
    </row>
    <row r="34" spans="1:17">
      <c r="A34" s="134" t="s">
        <v>192</v>
      </c>
      <c r="B34" s="134"/>
      <c r="C34" s="457"/>
      <c r="D34" s="457"/>
      <c r="E34" s="457"/>
      <c r="F34" s="457"/>
      <c r="G34" s="457"/>
      <c r="H34" s="457"/>
      <c r="I34" s="457"/>
      <c r="J34" s="84"/>
      <c r="K34" s="457"/>
      <c r="L34" s="457"/>
      <c r="M34" s="457"/>
      <c r="N34" s="457"/>
      <c r="O34" s="457"/>
      <c r="P34" s="457"/>
      <c r="Q34" s="457"/>
    </row>
    <row r="35" spans="1:17">
      <c r="A35" s="133" t="s">
        <v>188</v>
      </c>
      <c r="B35" s="133"/>
      <c r="C35" s="457">
        <f>'1.Project Cost and MOF'!D6</f>
        <v>55.183</v>
      </c>
      <c r="D35" s="457">
        <f t="shared" ref="D35:I35" si="18">C38</f>
        <v>51.689916099999998</v>
      </c>
      <c r="E35" s="457">
        <f t="shared" si="18"/>
        <v>48.196832199999996</v>
      </c>
      <c r="F35" s="457">
        <f t="shared" si="18"/>
        <v>44.703748299999994</v>
      </c>
      <c r="G35" s="457">
        <f t="shared" si="18"/>
        <v>41.210664399999992</v>
      </c>
      <c r="H35" s="457">
        <f t="shared" si="18"/>
        <v>37.71758049999999</v>
      </c>
      <c r="I35" s="457">
        <f t="shared" si="18"/>
        <v>34.224496599999988</v>
      </c>
      <c r="J35" s="84"/>
      <c r="K35" s="457">
        <f>C35</f>
        <v>55.183</v>
      </c>
      <c r="L35" s="457">
        <f t="shared" ref="L35:Q35" si="19">K38</f>
        <v>46.905549999999998</v>
      </c>
      <c r="M35" s="457">
        <f t="shared" si="19"/>
        <v>39.8697175</v>
      </c>
      <c r="N35" s="457">
        <f t="shared" si="19"/>
        <v>33.889259875</v>
      </c>
      <c r="O35" s="457">
        <f t="shared" si="19"/>
        <v>28.805870893750001</v>
      </c>
      <c r="P35" s="457">
        <f t="shared" si="19"/>
        <v>24.4849902596875</v>
      </c>
      <c r="Q35" s="457">
        <f t="shared" si="19"/>
        <v>20.812241720734374</v>
      </c>
    </row>
    <row r="36" spans="1:17">
      <c r="A36" s="133" t="s">
        <v>16</v>
      </c>
      <c r="B36" s="133"/>
      <c r="C36" s="457">
        <f t="shared" ref="C36:I36" si="20">$C$35*$B$70</f>
        <v>3.4930838999999998</v>
      </c>
      <c r="D36" s="457">
        <f t="shared" si="20"/>
        <v>3.4930838999999998</v>
      </c>
      <c r="E36" s="457">
        <f t="shared" si="20"/>
        <v>3.4930838999999998</v>
      </c>
      <c r="F36" s="457">
        <f t="shared" si="20"/>
        <v>3.4930838999999998</v>
      </c>
      <c r="G36" s="457">
        <f t="shared" si="20"/>
        <v>3.4930838999999998</v>
      </c>
      <c r="H36" s="457">
        <f t="shared" si="20"/>
        <v>3.4930838999999998</v>
      </c>
      <c r="I36" s="457">
        <f t="shared" si="20"/>
        <v>3.4930838999999998</v>
      </c>
      <c r="J36" s="84"/>
      <c r="K36" s="457">
        <f t="shared" ref="K36:Q36" si="21">K35*$C$70</f>
        <v>8.27745</v>
      </c>
      <c r="L36" s="457">
        <f t="shared" si="21"/>
        <v>7.0358324999999997</v>
      </c>
      <c r="M36" s="457">
        <f t="shared" si="21"/>
        <v>5.9804576249999997</v>
      </c>
      <c r="N36" s="457">
        <f t="shared" si="21"/>
        <v>5.0833889812499997</v>
      </c>
      <c r="O36" s="457">
        <f t="shared" si="21"/>
        <v>4.3208806340625001</v>
      </c>
      <c r="P36" s="457">
        <f t="shared" si="21"/>
        <v>3.6727485389531247</v>
      </c>
      <c r="Q36" s="457">
        <f t="shared" si="21"/>
        <v>3.121836258110156</v>
      </c>
    </row>
    <row r="37" spans="1:17">
      <c r="A37" s="133" t="s">
        <v>189</v>
      </c>
      <c r="B37" s="133"/>
      <c r="C37" s="457">
        <f>C36</f>
        <v>3.4930838999999998</v>
      </c>
      <c r="D37" s="457">
        <f t="shared" ref="D37:I37" si="22">C37+D36</f>
        <v>6.9861677999999996</v>
      </c>
      <c r="E37" s="457">
        <f t="shared" si="22"/>
        <v>10.479251699999999</v>
      </c>
      <c r="F37" s="457">
        <f t="shared" si="22"/>
        <v>13.972335599999999</v>
      </c>
      <c r="G37" s="457">
        <f t="shared" si="22"/>
        <v>17.465419499999999</v>
      </c>
      <c r="H37" s="457">
        <f t="shared" si="22"/>
        <v>20.958503399999998</v>
      </c>
      <c r="I37" s="457">
        <f t="shared" si="22"/>
        <v>24.451587299999996</v>
      </c>
      <c r="J37" s="84"/>
      <c r="K37" s="457">
        <f>K36</f>
        <v>8.27745</v>
      </c>
      <c r="L37" s="457">
        <f t="shared" ref="L37:Q37" si="23">K37+L36</f>
        <v>15.3132825</v>
      </c>
      <c r="M37" s="457">
        <f t="shared" si="23"/>
        <v>21.293740124999999</v>
      </c>
      <c r="N37" s="457">
        <f t="shared" si="23"/>
        <v>26.377129106249999</v>
      </c>
      <c r="O37" s="457">
        <f t="shared" si="23"/>
        <v>30.6980097403125</v>
      </c>
      <c r="P37" s="457">
        <f t="shared" si="23"/>
        <v>34.370758279265623</v>
      </c>
      <c r="Q37" s="457">
        <f t="shared" si="23"/>
        <v>37.49259453737578</v>
      </c>
    </row>
    <row r="38" spans="1:17">
      <c r="A38" s="133" t="s">
        <v>190</v>
      </c>
      <c r="B38" s="133"/>
      <c r="C38" s="457">
        <f t="shared" ref="C38:I38" si="24">C35-C36</f>
        <v>51.689916099999998</v>
      </c>
      <c r="D38" s="457">
        <f t="shared" si="24"/>
        <v>48.196832199999996</v>
      </c>
      <c r="E38" s="457">
        <f t="shared" si="24"/>
        <v>44.703748299999994</v>
      </c>
      <c r="F38" s="457">
        <f t="shared" si="24"/>
        <v>41.210664399999992</v>
      </c>
      <c r="G38" s="457">
        <f t="shared" si="24"/>
        <v>37.71758049999999</v>
      </c>
      <c r="H38" s="457">
        <f t="shared" si="24"/>
        <v>34.224496599999988</v>
      </c>
      <c r="I38" s="457">
        <f t="shared" si="24"/>
        <v>30.731412699999989</v>
      </c>
      <c r="J38" s="84"/>
      <c r="K38" s="457">
        <f t="shared" ref="K38:Q38" si="25">K35-K36</f>
        <v>46.905549999999998</v>
      </c>
      <c r="L38" s="457">
        <f t="shared" si="25"/>
        <v>39.8697175</v>
      </c>
      <c r="M38" s="457">
        <f t="shared" si="25"/>
        <v>33.889259875</v>
      </c>
      <c r="N38" s="457">
        <f t="shared" si="25"/>
        <v>28.805870893750001</v>
      </c>
      <c r="O38" s="457">
        <f t="shared" si="25"/>
        <v>24.4849902596875</v>
      </c>
      <c r="P38" s="457">
        <f t="shared" si="25"/>
        <v>20.812241720734374</v>
      </c>
      <c r="Q38" s="457">
        <f t="shared" si="25"/>
        <v>17.690405462624216</v>
      </c>
    </row>
    <row r="39" spans="1:17">
      <c r="A39" s="133"/>
      <c r="B39" s="133"/>
      <c r="C39" s="457"/>
      <c r="D39" s="457"/>
      <c r="E39" s="457"/>
      <c r="F39" s="457"/>
      <c r="G39" s="457"/>
      <c r="H39" s="457"/>
      <c r="I39" s="457"/>
      <c r="J39" s="84"/>
      <c r="K39" s="457"/>
      <c r="L39" s="457"/>
      <c r="M39" s="457"/>
      <c r="N39" s="457"/>
      <c r="O39" s="457"/>
      <c r="P39" s="457"/>
      <c r="Q39" s="457"/>
    </row>
    <row r="40" spans="1:17" hidden="1">
      <c r="A40" s="134" t="s">
        <v>193</v>
      </c>
      <c r="B40" s="134"/>
      <c r="C40" s="457"/>
      <c r="D40" s="457"/>
      <c r="E40" s="457"/>
      <c r="F40" s="457"/>
      <c r="G40" s="457"/>
      <c r="H40" s="457"/>
      <c r="I40" s="457"/>
      <c r="J40" s="84"/>
      <c r="K40" s="457"/>
      <c r="L40" s="457"/>
      <c r="M40" s="457"/>
      <c r="N40" s="457"/>
      <c r="O40" s="457"/>
      <c r="P40" s="457"/>
      <c r="Q40" s="457"/>
    </row>
    <row r="41" spans="1:17" hidden="1">
      <c r="A41" s="133" t="s">
        <v>188</v>
      </c>
      <c r="B41" s="133"/>
      <c r="C41" s="457">
        <f>'1.Project Cost and MOF'!D7</f>
        <v>0</v>
      </c>
      <c r="D41" s="457">
        <f t="shared" ref="D41:I41" si="26">C44</f>
        <v>0</v>
      </c>
      <c r="E41" s="457">
        <f t="shared" si="26"/>
        <v>0</v>
      </c>
      <c r="F41" s="457">
        <f t="shared" si="26"/>
        <v>0</v>
      </c>
      <c r="G41" s="457">
        <f t="shared" si="26"/>
        <v>0</v>
      </c>
      <c r="H41" s="457">
        <f t="shared" si="26"/>
        <v>0</v>
      </c>
      <c r="I41" s="457">
        <f t="shared" si="26"/>
        <v>0</v>
      </c>
      <c r="J41" s="84"/>
      <c r="K41" s="457">
        <f>C41</f>
        <v>0</v>
      </c>
      <c r="L41" s="457">
        <f t="shared" ref="L41:Q41" si="27">K44</f>
        <v>0</v>
      </c>
      <c r="M41" s="457">
        <f t="shared" si="27"/>
        <v>0</v>
      </c>
      <c r="N41" s="457">
        <f t="shared" si="27"/>
        <v>0</v>
      </c>
      <c r="O41" s="457">
        <f t="shared" si="27"/>
        <v>0</v>
      </c>
      <c r="P41" s="457">
        <f t="shared" si="27"/>
        <v>0</v>
      </c>
      <c r="Q41" s="457">
        <f t="shared" si="27"/>
        <v>0</v>
      </c>
    </row>
    <row r="42" spans="1:17" hidden="1">
      <c r="A42" s="133" t="s">
        <v>16</v>
      </c>
      <c r="B42" s="133"/>
      <c r="C42" s="457">
        <f t="shared" ref="C42:I42" si="28">$C$41*$B$67</f>
        <v>0</v>
      </c>
      <c r="D42" s="457">
        <f t="shared" si="28"/>
        <v>0</v>
      </c>
      <c r="E42" s="457">
        <f t="shared" si="28"/>
        <v>0</v>
      </c>
      <c r="F42" s="457">
        <f t="shared" si="28"/>
        <v>0</v>
      </c>
      <c r="G42" s="457">
        <f t="shared" si="28"/>
        <v>0</v>
      </c>
      <c r="H42" s="457">
        <f t="shared" si="28"/>
        <v>0</v>
      </c>
      <c r="I42" s="457">
        <f t="shared" si="28"/>
        <v>0</v>
      </c>
      <c r="J42" s="84"/>
      <c r="K42" s="457">
        <f t="shared" ref="K42:Q42" si="29">K41*$C$67</f>
        <v>0</v>
      </c>
      <c r="L42" s="457">
        <f t="shared" si="29"/>
        <v>0</v>
      </c>
      <c r="M42" s="457">
        <f t="shared" si="29"/>
        <v>0</v>
      </c>
      <c r="N42" s="457">
        <f t="shared" si="29"/>
        <v>0</v>
      </c>
      <c r="O42" s="457">
        <f t="shared" si="29"/>
        <v>0</v>
      </c>
      <c r="P42" s="457">
        <f t="shared" si="29"/>
        <v>0</v>
      </c>
      <c r="Q42" s="457">
        <f t="shared" si="29"/>
        <v>0</v>
      </c>
    </row>
    <row r="43" spans="1:17" hidden="1">
      <c r="A43" s="133" t="s">
        <v>189</v>
      </c>
      <c r="B43" s="133"/>
      <c r="C43" s="457">
        <f>C42</f>
        <v>0</v>
      </c>
      <c r="D43" s="457">
        <f t="shared" ref="D43:I43" si="30">C43+D42</f>
        <v>0</v>
      </c>
      <c r="E43" s="457">
        <f t="shared" si="30"/>
        <v>0</v>
      </c>
      <c r="F43" s="457">
        <f t="shared" si="30"/>
        <v>0</v>
      </c>
      <c r="G43" s="457">
        <f t="shared" si="30"/>
        <v>0</v>
      </c>
      <c r="H43" s="457">
        <f t="shared" si="30"/>
        <v>0</v>
      </c>
      <c r="I43" s="457">
        <f t="shared" si="30"/>
        <v>0</v>
      </c>
      <c r="J43" s="84"/>
      <c r="K43" s="457">
        <f>K42</f>
        <v>0</v>
      </c>
      <c r="L43" s="457">
        <f t="shared" ref="L43:Q43" si="31">K43+L42</f>
        <v>0</v>
      </c>
      <c r="M43" s="457">
        <f t="shared" si="31"/>
        <v>0</v>
      </c>
      <c r="N43" s="457">
        <f t="shared" si="31"/>
        <v>0</v>
      </c>
      <c r="O43" s="457">
        <f t="shared" si="31"/>
        <v>0</v>
      </c>
      <c r="P43" s="457">
        <f t="shared" si="31"/>
        <v>0</v>
      </c>
      <c r="Q43" s="457">
        <f t="shared" si="31"/>
        <v>0</v>
      </c>
    </row>
    <row r="44" spans="1:17" hidden="1">
      <c r="A44" s="133" t="s">
        <v>190</v>
      </c>
      <c r="B44" s="133"/>
      <c r="C44" s="457">
        <f t="shared" ref="C44:I44" si="32">C41-C42</f>
        <v>0</v>
      </c>
      <c r="D44" s="457">
        <f t="shared" si="32"/>
        <v>0</v>
      </c>
      <c r="E44" s="457">
        <f t="shared" si="32"/>
        <v>0</v>
      </c>
      <c r="F44" s="457">
        <f t="shared" si="32"/>
        <v>0</v>
      </c>
      <c r="G44" s="457">
        <f t="shared" si="32"/>
        <v>0</v>
      </c>
      <c r="H44" s="457">
        <f t="shared" si="32"/>
        <v>0</v>
      </c>
      <c r="I44" s="457">
        <f t="shared" si="32"/>
        <v>0</v>
      </c>
      <c r="J44" s="84"/>
      <c r="K44" s="457">
        <f t="shared" ref="K44:Q44" si="33">K41-K42</f>
        <v>0</v>
      </c>
      <c r="L44" s="457">
        <f t="shared" si="33"/>
        <v>0</v>
      </c>
      <c r="M44" s="457">
        <f t="shared" si="33"/>
        <v>0</v>
      </c>
      <c r="N44" s="457">
        <f t="shared" si="33"/>
        <v>0</v>
      </c>
      <c r="O44" s="457">
        <f t="shared" si="33"/>
        <v>0</v>
      </c>
      <c r="P44" s="457">
        <f t="shared" si="33"/>
        <v>0</v>
      </c>
      <c r="Q44" s="457">
        <f t="shared" si="33"/>
        <v>0</v>
      </c>
    </row>
    <row r="45" spans="1:17" hidden="1">
      <c r="A45" s="133"/>
      <c r="B45" s="133"/>
      <c r="C45" s="457"/>
      <c r="D45" s="457"/>
      <c r="E45" s="457"/>
      <c r="F45" s="457"/>
      <c r="G45" s="457"/>
      <c r="H45" s="457"/>
      <c r="I45" s="457"/>
      <c r="J45" s="84"/>
      <c r="K45" s="457"/>
      <c r="L45" s="457"/>
      <c r="M45" s="457"/>
      <c r="N45" s="457"/>
      <c r="O45" s="457"/>
      <c r="P45" s="457"/>
      <c r="Q45" s="457"/>
    </row>
    <row r="46" spans="1:17" hidden="1">
      <c r="A46" s="134" t="s">
        <v>155</v>
      </c>
      <c r="B46" s="134"/>
      <c r="C46" s="457"/>
      <c r="D46" s="457"/>
      <c r="E46" s="457"/>
      <c r="F46" s="457"/>
      <c r="G46" s="457"/>
      <c r="H46" s="457"/>
      <c r="I46" s="457"/>
      <c r="J46" s="84"/>
      <c r="K46" s="457"/>
      <c r="L46" s="457"/>
      <c r="M46" s="457"/>
      <c r="N46" s="457"/>
      <c r="O46" s="457"/>
      <c r="P46" s="457"/>
      <c r="Q46" s="457"/>
    </row>
    <row r="47" spans="1:17" hidden="1">
      <c r="A47" s="133" t="s">
        <v>188</v>
      </c>
      <c r="B47" s="133"/>
      <c r="C47" s="457">
        <f>'1.Project Cost and MOF'!D9</f>
        <v>0</v>
      </c>
      <c r="D47" s="457">
        <f t="shared" ref="D47:I47" si="34">C50</f>
        <v>0</v>
      </c>
      <c r="E47" s="457">
        <f t="shared" si="34"/>
        <v>0</v>
      </c>
      <c r="F47" s="457">
        <f t="shared" si="34"/>
        <v>0</v>
      </c>
      <c r="G47" s="457">
        <f t="shared" si="34"/>
        <v>0</v>
      </c>
      <c r="H47" s="457">
        <f t="shared" si="34"/>
        <v>0</v>
      </c>
      <c r="I47" s="457">
        <f t="shared" si="34"/>
        <v>0</v>
      </c>
      <c r="J47" s="84"/>
      <c r="K47" s="457">
        <f>C47</f>
        <v>0</v>
      </c>
      <c r="L47" s="457">
        <f t="shared" ref="L47:Q47" si="35">K50</f>
        <v>0</v>
      </c>
      <c r="M47" s="457">
        <f t="shared" si="35"/>
        <v>0</v>
      </c>
      <c r="N47" s="457">
        <f t="shared" si="35"/>
        <v>0</v>
      </c>
      <c r="O47" s="457">
        <f t="shared" si="35"/>
        <v>0</v>
      </c>
      <c r="P47" s="457">
        <f t="shared" si="35"/>
        <v>0</v>
      </c>
      <c r="Q47" s="457">
        <f t="shared" si="35"/>
        <v>0</v>
      </c>
    </row>
    <row r="48" spans="1:17" hidden="1">
      <c r="A48" s="133" t="s">
        <v>16</v>
      </c>
      <c r="B48" s="133"/>
      <c r="C48" s="457">
        <f t="shared" ref="C48:I48" si="36">$C$47*$B$69</f>
        <v>0</v>
      </c>
      <c r="D48" s="457">
        <f t="shared" si="36"/>
        <v>0</v>
      </c>
      <c r="E48" s="457">
        <f t="shared" si="36"/>
        <v>0</v>
      </c>
      <c r="F48" s="457">
        <f t="shared" si="36"/>
        <v>0</v>
      </c>
      <c r="G48" s="457">
        <f t="shared" si="36"/>
        <v>0</v>
      </c>
      <c r="H48" s="457">
        <f t="shared" si="36"/>
        <v>0</v>
      </c>
      <c r="I48" s="457">
        <f t="shared" si="36"/>
        <v>0</v>
      </c>
      <c r="J48" s="84"/>
      <c r="K48" s="457">
        <f t="shared" ref="K48:Q48" si="37">K47*$C$69</f>
        <v>0</v>
      </c>
      <c r="L48" s="457">
        <f t="shared" si="37"/>
        <v>0</v>
      </c>
      <c r="M48" s="457">
        <f t="shared" si="37"/>
        <v>0</v>
      </c>
      <c r="N48" s="457">
        <f t="shared" si="37"/>
        <v>0</v>
      </c>
      <c r="O48" s="457">
        <f t="shared" si="37"/>
        <v>0</v>
      </c>
      <c r="P48" s="457">
        <f t="shared" si="37"/>
        <v>0</v>
      </c>
      <c r="Q48" s="457">
        <f t="shared" si="37"/>
        <v>0</v>
      </c>
    </row>
    <row r="49" spans="1:17" hidden="1">
      <c r="A49" s="133" t="s">
        <v>189</v>
      </c>
      <c r="B49" s="133"/>
      <c r="C49" s="457">
        <f>C48</f>
        <v>0</v>
      </c>
      <c r="D49" s="457">
        <f t="shared" ref="D49:I49" si="38">C49+D48</f>
        <v>0</v>
      </c>
      <c r="E49" s="457">
        <f t="shared" si="38"/>
        <v>0</v>
      </c>
      <c r="F49" s="457">
        <f t="shared" si="38"/>
        <v>0</v>
      </c>
      <c r="G49" s="457">
        <f t="shared" si="38"/>
        <v>0</v>
      </c>
      <c r="H49" s="457">
        <f t="shared" si="38"/>
        <v>0</v>
      </c>
      <c r="I49" s="457">
        <f t="shared" si="38"/>
        <v>0</v>
      </c>
      <c r="J49" s="84"/>
      <c r="K49" s="457">
        <f>K48</f>
        <v>0</v>
      </c>
      <c r="L49" s="457">
        <f t="shared" ref="L49:Q49" si="39">K49+L48</f>
        <v>0</v>
      </c>
      <c r="M49" s="457">
        <f t="shared" si="39"/>
        <v>0</v>
      </c>
      <c r="N49" s="457">
        <f t="shared" si="39"/>
        <v>0</v>
      </c>
      <c r="O49" s="457">
        <f t="shared" si="39"/>
        <v>0</v>
      </c>
      <c r="P49" s="457">
        <f t="shared" si="39"/>
        <v>0</v>
      </c>
      <c r="Q49" s="457">
        <f t="shared" si="39"/>
        <v>0</v>
      </c>
    </row>
    <row r="50" spans="1:17" hidden="1">
      <c r="A50" s="133" t="s">
        <v>190</v>
      </c>
      <c r="B50" s="133"/>
      <c r="C50" s="457">
        <f t="shared" ref="C50:I50" si="40">C47-C48</f>
        <v>0</v>
      </c>
      <c r="D50" s="457">
        <f t="shared" si="40"/>
        <v>0</v>
      </c>
      <c r="E50" s="457">
        <f t="shared" si="40"/>
        <v>0</v>
      </c>
      <c r="F50" s="457">
        <f t="shared" si="40"/>
        <v>0</v>
      </c>
      <c r="G50" s="457">
        <f t="shared" si="40"/>
        <v>0</v>
      </c>
      <c r="H50" s="457">
        <f t="shared" si="40"/>
        <v>0</v>
      </c>
      <c r="I50" s="457">
        <f t="shared" si="40"/>
        <v>0</v>
      </c>
      <c r="J50" s="84"/>
      <c r="K50" s="457">
        <f t="shared" ref="K50:Q50" si="41">K47-K48</f>
        <v>0</v>
      </c>
      <c r="L50" s="457">
        <f t="shared" si="41"/>
        <v>0</v>
      </c>
      <c r="M50" s="457">
        <f t="shared" si="41"/>
        <v>0</v>
      </c>
      <c r="N50" s="457">
        <f t="shared" si="41"/>
        <v>0</v>
      </c>
      <c r="O50" s="457">
        <f t="shared" si="41"/>
        <v>0</v>
      </c>
      <c r="P50" s="457">
        <f t="shared" si="41"/>
        <v>0</v>
      </c>
      <c r="Q50" s="457">
        <f t="shared" si="41"/>
        <v>0</v>
      </c>
    </row>
    <row r="51" spans="1:17" hidden="1">
      <c r="A51" s="133"/>
      <c r="B51" s="133"/>
      <c r="C51" s="457"/>
      <c r="D51" s="457"/>
      <c r="E51" s="457"/>
      <c r="F51" s="457"/>
      <c r="G51" s="457"/>
      <c r="H51" s="457"/>
      <c r="I51" s="457"/>
      <c r="J51" s="84"/>
      <c r="K51" s="457"/>
      <c r="L51" s="457"/>
      <c r="M51" s="457"/>
      <c r="N51" s="457"/>
      <c r="O51" s="457"/>
      <c r="P51" s="457"/>
      <c r="Q51" s="457"/>
    </row>
    <row r="52" spans="1:17" hidden="1">
      <c r="A52" s="282" t="s">
        <v>317</v>
      </c>
      <c r="B52" s="133"/>
      <c r="C52" s="457"/>
      <c r="D52" s="457"/>
      <c r="E52" s="457"/>
      <c r="F52" s="457"/>
      <c r="G52" s="457"/>
      <c r="H52" s="457"/>
      <c r="I52" s="457"/>
      <c r="J52" s="84"/>
      <c r="K52" s="457"/>
      <c r="L52" s="457"/>
      <c r="M52" s="457"/>
      <c r="N52" s="457"/>
      <c r="O52" s="457"/>
      <c r="P52" s="457"/>
      <c r="Q52" s="457"/>
    </row>
    <row r="53" spans="1:17" hidden="1">
      <c r="A53" s="133" t="str">
        <f>A47</f>
        <v>Asset Value</v>
      </c>
      <c r="B53" s="133"/>
      <c r="C53" s="457">
        <f>'1.Project Cost and MOF'!D8</f>
        <v>0</v>
      </c>
      <c r="D53" s="457">
        <f t="shared" ref="D53:I53" si="42">C56</f>
        <v>0</v>
      </c>
      <c r="E53" s="457">
        <f t="shared" si="42"/>
        <v>0</v>
      </c>
      <c r="F53" s="457">
        <f t="shared" si="42"/>
        <v>0</v>
      </c>
      <c r="G53" s="457">
        <f t="shared" si="42"/>
        <v>0</v>
      </c>
      <c r="H53" s="457">
        <f t="shared" si="42"/>
        <v>0</v>
      </c>
      <c r="I53" s="457">
        <f t="shared" si="42"/>
        <v>0</v>
      </c>
      <c r="J53" s="84"/>
      <c r="K53" s="457">
        <f>C53</f>
        <v>0</v>
      </c>
      <c r="L53" s="457">
        <f t="shared" ref="L53:Q53" si="43">K56</f>
        <v>0</v>
      </c>
      <c r="M53" s="457">
        <f t="shared" si="43"/>
        <v>0</v>
      </c>
      <c r="N53" s="457">
        <f t="shared" si="43"/>
        <v>0</v>
      </c>
      <c r="O53" s="457">
        <f t="shared" si="43"/>
        <v>0</v>
      </c>
      <c r="P53" s="457">
        <f t="shared" si="43"/>
        <v>0</v>
      </c>
      <c r="Q53" s="457">
        <f t="shared" si="43"/>
        <v>0</v>
      </c>
    </row>
    <row r="54" spans="1:17" hidden="1">
      <c r="A54" s="133" t="str">
        <f>A48</f>
        <v>Depreciation</v>
      </c>
      <c r="B54" s="133"/>
      <c r="C54" s="457">
        <f t="shared" ref="C54:I54" si="44">$C$53*$B$68</f>
        <v>0</v>
      </c>
      <c r="D54" s="457">
        <f t="shared" si="44"/>
        <v>0</v>
      </c>
      <c r="E54" s="457">
        <f t="shared" si="44"/>
        <v>0</v>
      </c>
      <c r="F54" s="457">
        <f t="shared" si="44"/>
        <v>0</v>
      </c>
      <c r="G54" s="457">
        <f t="shared" si="44"/>
        <v>0</v>
      </c>
      <c r="H54" s="457">
        <f t="shared" si="44"/>
        <v>0</v>
      </c>
      <c r="I54" s="457">
        <f t="shared" si="44"/>
        <v>0</v>
      </c>
      <c r="J54" s="84"/>
      <c r="K54" s="457">
        <f t="shared" ref="K54:Q54" si="45">K53*$C$68</f>
        <v>0</v>
      </c>
      <c r="L54" s="457">
        <f t="shared" si="45"/>
        <v>0</v>
      </c>
      <c r="M54" s="457">
        <f t="shared" si="45"/>
        <v>0</v>
      </c>
      <c r="N54" s="457">
        <f t="shared" si="45"/>
        <v>0</v>
      </c>
      <c r="O54" s="457">
        <f t="shared" si="45"/>
        <v>0</v>
      </c>
      <c r="P54" s="457">
        <f t="shared" si="45"/>
        <v>0</v>
      </c>
      <c r="Q54" s="457">
        <f t="shared" si="45"/>
        <v>0</v>
      </c>
    </row>
    <row r="55" spans="1:17" hidden="1">
      <c r="A55" s="133" t="str">
        <f>A49</f>
        <v>Accumulated Depreciation</v>
      </c>
      <c r="B55" s="133"/>
      <c r="C55" s="457">
        <f>C54</f>
        <v>0</v>
      </c>
      <c r="D55" s="457">
        <f t="shared" ref="D55:I55" si="46">D54+C55</f>
        <v>0</v>
      </c>
      <c r="E55" s="457">
        <f t="shared" si="46"/>
        <v>0</v>
      </c>
      <c r="F55" s="457">
        <f t="shared" si="46"/>
        <v>0</v>
      </c>
      <c r="G55" s="457">
        <f t="shared" si="46"/>
        <v>0</v>
      </c>
      <c r="H55" s="457">
        <f t="shared" si="46"/>
        <v>0</v>
      </c>
      <c r="I55" s="457">
        <f t="shared" si="46"/>
        <v>0</v>
      </c>
      <c r="J55" s="84"/>
      <c r="K55" s="457">
        <f>K54</f>
        <v>0</v>
      </c>
      <c r="L55" s="457">
        <f t="shared" ref="L55:Q55" si="47">L54+K55</f>
        <v>0</v>
      </c>
      <c r="M55" s="457">
        <f t="shared" si="47"/>
        <v>0</v>
      </c>
      <c r="N55" s="457">
        <f t="shared" si="47"/>
        <v>0</v>
      </c>
      <c r="O55" s="457">
        <f t="shared" si="47"/>
        <v>0</v>
      </c>
      <c r="P55" s="457">
        <f t="shared" si="47"/>
        <v>0</v>
      </c>
      <c r="Q55" s="457">
        <f t="shared" si="47"/>
        <v>0</v>
      </c>
    </row>
    <row r="56" spans="1:17" hidden="1">
      <c r="A56" s="133" t="str">
        <f>A50</f>
        <v>Net Fixed Assets</v>
      </c>
      <c r="B56" s="133"/>
      <c r="C56" s="457">
        <f t="shared" ref="C56:I56" si="48">C53-C54</f>
        <v>0</v>
      </c>
      <c r="D56" s="457">
        <f t="shared" si="48"/>
        <v>0</v>
      </c>
      <c r="E56" s="457">
        <f t="shared" si="48"/>
        <v>0</v>
      </c>
      <c r="F56" s="457">
        <f t="shared" si="48"/>
        <v>0</v>
      </c>
      <c r="G56" s="457">
        <f t="shared" si="48"/>
        <v>0</v>
      </c>
      <c r="H56" s="457">
        <f t="shared" si="48"/>
        <v>0</v>
      </c>
      <c r="I56" s="457">
        <f t="shared" si="48"/>
        <v>0</v>
      </c>
      <c r="J56" s="84"/>
      <c r="K56" s="457">
        <f t="shared" ref="K56:Q56" si="49">K53-K54</f>
        <v>0</v>
      </c>
      <c r="L56" s="457">
        <f t="shared" si="49"/>
        <v>0</v>
      </c>
      <c r="M56" s="457">
        <f t="shared" si="49"/>
        <v>0</v>
      </c>
      <c r="N56" s="457">
        <f t="shared" si="49"/>
        <v>0</v>
      </c>
      <c r="O56" s="457">
        <f t="shared" si="49"/>
        <v>0</v>
      </c>
      <c r="P56" s="457">
        <f t="shared" si="49"/>
        <v>0</v>
      </c>
      <c r="Q56" s="457">
        <f t="shared" si="49"/>
        <v>0</v>
      </c>
    </row>
    <row r="57" spans="1:17">
      <c r="A57" s="134" t="s">
        <v>194</v>
      </c>
      <c r="B57" s="134"/>
      <c r="C57" s="458">
        <f t="shared" ref="C57:I60" si="50">C41+C35+C29+C47+C53</f>
        <v>179.68299999999999</v>
      </c>
      <c r="D57" s="458">
        <f t="shared" si="50"/>
        <v>172.2432661</v>
      </c>
      <c r="E57" s="458">
        <f t="shared" si="50"/>
        <v>164.80353219999998</v>
      </c>
      <c r="F57" s="458">
        <f t="shared" si="50"/>
        <v>157.36379829999998</v>
      </c>
      <c r="G57" s="458">
        <f t="shared" si="50"/>
        <v>149.92406439999996</v>
      </c>
      <c r="H57" s="458">
        <f t="shared" si="50"/>
        <v>142.48433049999997</v>
      </c>
      <c r="I57" s="458">
        <f t="shared" si="50"/>
        <v>135.04459659999995</v>
      </c>
      <c r="J57" s="84"/>
      <c r="K57" s="458">
        <f t="shared" ref="K57:Q60" si="51">K41+K35+K29+K47+K53</f>
        <v>179.68299999999999</v>
      </c>
      <c r="L57" s="458">
        <f t="shared" si="51"/>
        <v>158.95554999999999</v>
      </c>
      <c r="M57" s="458">
        <f t="shared" si="51"/>
        <v>140.71471750000001</v>
      </c>
      <c r="N57" s="458">
        <f t="shared" si="51"/>
        <v>124.649759875</v>
      </c>
      <c r="O57" s="458">
        <f t="shared" si="51"/>
        <v>110.49032089375</v>
      </c>
      <c r="P57" s="458">
        <f t="shared" si="51"/>
        <v>98.0009952596875</v>
      </c>
      <c r="Q57" s="458">
        <f t="shared" si="51"/>
        <v>86.976646220734366</v>
      </c>
    </row>
    <row r="58" spans="1:17">
      <c r="A58" s="134" t="s">
        <v>195</v>
      </c>
      <c r="B58" s="134"/>
      <c r="C58" s="458">
        <f t="shared" si="50"/>
        <v>7.4397339000000002</v>
      </c>
      <c r="D58" s="458">
        <f t="shared" si="50"/>
        <v>7.4397339000000002</v>
      </c>
      <c r="E58" s="458">
        <f t="shared" si="50"/>
        <v>7.4397339000000002</v>
      </c>
      <c r="F58" s="458">
        <f t="shared" si="50"/>
        <v>7.4397339000000002</v>
      </c>
      <c r="G58" s="458">
        <f t="shared" si="50"/>
        <v>7.4397339000000002</v>
      </c>
      <c r="H58" s="458">
        <f t="shared" si="50"/>
        <v>7.4397339000000002</v>
      </c>
      <c r="I58" s="458">
        <f t="shared" si="50"/>
        <v>7.4397339000000002</v>
      </c>
      <c r="J58" s="84"/>
      <c r="K58" s="458">
        <f t="shared" si="51"/>
        <v>20.727450000000001</v>
      </c>
      <c r="L58" s="458">
        <f t="shared" si="51"/>
        <v>18.2408325</v>
      </c>
      <c r="M58" s="458">
        <f t="shared" si="51"/>
        <v>16.064957624999998</v>
      </c>
      <c r="N58" s="458">
        <f t="shared" si="51"/>
        <v>14.15943898125</v>
      </c>
      <c r="O58" s="458">
        <f t="shared" si="51"/>
        <v>12.489325634062499</v>
      </c>
      <c r="P58" s="458">
        <f t="shared" si="51"/>
        <v>11.024349038953124</v>
      </c>
      <c r="Q58" s="458">
        <f t="shared" si="51"/>
        <v>9.7382767081101544</v>
      </c>
    </row>
    <row r="59" spans="1:17">
      <c r="A59" s="134" t="s">
        <v>196</v>
      </c>
      <c r="B59" s="134"/>
      <c r="C59" s="458">
        <f t="shared" si="50"/>
        <v>7.4397339000000002</v>
      </c>
      <c r="D59" s="458">
        <f t="shared" si="50"/>
        <v>14.8794678</v>
      </c>
      <c r="E59" s="458">
        <f t="shared" si="50"/>
        <v>22.319201700000001</v>
      </c>
      <c r="F59" s="458">
        <f t="shared" si="50"/>
        <v>29.758935600000001</v>
      </c>
      <c r="G59" s="458">
        <f t="shared" si="50"/>
        <v>37.198669499999994</v>
      </c>
      <c r="H59" s="458">
        <f t="shared" si="50"/>
        <v>44.638403399999994</v>
      </c>
      <c r="I59" s="458">
        <f t="shared" si="50"/>
        <v>52.078137299999995</v>
      </c>
      <c r="J59" s="84"/>
      <c r="K59" s="458">
        <f t="shared" si="51"/>
        <v>20.727450000000001</v>
      </c>
      <c r="L59" s="458">
        <f t="shared" si="51"/>
        <v>38.968282500000001</v>
      </c>
      <c r="M59" s="458">
        <f t="shared" si="51"/>
        <v>55.033240124999999</v>
      </c>
      <c r="N59" s="458">
        <f t="shared" si="51"/>
        <v>69.192679106249997</v>
      </c>
      <c r="O59" s="458">
        <f t="shared" si="51"/>
        <v>81.682004740312493</v>
      </c>
      <c r="P59" s="458">
        <f t="shared" si="51"/>
        <v>92.706353779265612</v>
      </c>
      <c r="Q59" s="458">
        <f t="shared" si="51"/>
        <v>102.44463048737578</v>
      </c>
    </row>
    <row r="60" spans="1:17">
      <c r="A60" s="134" t="s">
        <v>190</v>
      </c>
      <c r="B60" s="134"/>
      <c r="C60" s="458">
        <f t="shared" si="50"/>
        <v>172.2432661</v>
      </c>
      <c r="D60" s="458">
        <f t="shared" si="50"/>
        <v>164.80353219999998</v>
      </c>
      <c r="E60" s="458">
        <f t="shared" si="50"/>
        <v>157.36379829999998</v>
      </c>
      <c r="F60" s="458">
        <f t="shared" si="50"/>
        <v>149.92406439999996</v>
      </c>
      <c r="G60" s="458">
        <f t="shared" si="50"/>
        <v>142.48433049999997</v>
      </c>
      <c r="H60" s="458">
        <f t="shared" si="50"/>
        <v>135.04459659999995</v>
      </c>
      <c r="I60" s="458">
        <f t="shared" si="50"/>
        <v>127.60486269999996</v>
      </c>
      <c r="J60" s="84"/>
      <c r="K60" s="458">
        <f t="shared" si="51"/>
        <v>158.95554999999999</v>
      </c>
      <c r="L60" s="458">
        <f t="shared" si="51"/>
        <v>140.71471750000001</v>
      </c>
      <c r="M60" s="458">
        <f t="shared" si="51"/>
        <v>124.649759875</v>
      </c>
      <c r="N60" s="458">
        <f t="shared" si="51"/>
        <v>110.49032089375</v>
      </c>
      <c r="O60" s="458">
        <f t="shared" si="51"/>
        <v>98.0009952596875</v>
      </c>
      <c r="P60" s="458">
        <f t="shared" si="51"/>
        <v>86.976646220734366</v>
      </c>
      <c r="Q60" s="458">
        <f t="shared" si="51"/>
        <v>77.238369512624203</v>
      </c>
    </row>
    <row r="61" spans="1:17">
      <c r="A61" s="137"/>
      <c r="B61" s="137"/>
      <c r="C61" s="459"/>
      <c r="D61" s="459"/>
      <c r="E61" s="459"/>
      <c r="F61" s="459"/>
      <c r="G61" s="459"/>
      <c r="H61" s="459"/>
      <c r="I61" s="459"/>
      <c r="J61" s="79"/>
    </row>
    <row r="62" spans="1:17">
      <c r="A62" s="79"/>
      <c r="B62" s="79"/>
      <c r="C62" s="460"/>
      <c r="D62" s="460"/>
      <c r="E62" s="460"/>
      <c r="F62" s="460"/>
      <c r="G62" s="460"/>
      <c r="H62" s="460"/>
      <c r="I62" s="460"/>
      <c r="J62" s="79"/>
    </row>
    <row r="63" spans="1:17" ht="29.25">
      <c r="A63" s="138" t="s">
        <v>197</v>
      </c>
      <c r="B63" s="139" t="s">
        <v>198</v>
      </c>
      <c r="C63" s="461" t="s">
        <v>199</v>
      </c>
      <c r="D63" s="460"/>
      <c r="E63" s="460"/>
      <c r="F63" s="460"/>
      <c r="G63" s="460"/>
      <c r="H63" s="460"/>
      <c r="I63" s="460"/>
      <c r="J63" s="79"/>
    </row>
    <row r="64" spans="1:17" ht="29.25">
      <c r="A64" s="140" t="s">
        <v>200</v>
      </c>
      <c r="B64" s="139" t="s">
        <v>201</v>
      </c>
      <c r="C64" s="461" t="s">
        <v>202</v>
      </c>
      <c r="D64" s="460"/>
      <c r="E64" s="460"/>
      <c r="F64" s="460"/>
      <c r="G64" s="460"/>
      <c r="H64" s="460"/>
      <c r="I64" s="460"/>
      <c r="J64" s="79"/>
    </row>
    <row r="65" spans="1:18">
      <c r="A65" s="140" t="s">
        <v>143</v>
      </c>
      <c r="B65" s="141">
        <v>0</v>
      </c>
      <c r="C65" s="147">
        <v>0</v>
      </c>
      <c r="D65" s="460"/>
      <c r="E65" s="460"/>
      <c r="F65" s="460"/>
      <c r="G65" s="460"/>
      <c r="H65" s="460"/>
      <c r="I65" s="460"/>
      <c r="J65" s="79"/>
    </row>
    <row r="66" spans="1:18">
      <c r="A66" s="142" t="s">
        <v>191</v>
      </c>
      <c r="B66" s="141">
        <v>3.1699999999999999E-2</v>
      </c>
      <c r="C66" s="147">
        <v>0.1</v>
      </c>
      <c r="D66" s="460"/>
      <c r="E66" s="460"/>
      <c r="F66" s="460"/>
      <c r="G66" s="460"/>
      <c r="H66" s="460"/>
      <c r="I66" s="460"/>
      <c r="J66" s="79"/>
    </row>
    <row r="67" spans="1:18">
      <c r="A67" s="142" t="s">
        <v>193</v>
      </c>
      <c r="B67" s="144">
        <v>0.1</v>
      </c>
      <c r="C67" s="147">
        <v>0.1</v>
      </c>
      <c r="D67" s="460"/>
      <c r="E67" s="460"/>
      <c r="F67" s="460"/>
      <c r="G67" s="460"/>
      <c r="H67" s="460"/>
      <c r="I67" s="460"/>
      <c r="J67" s="79"/>
    </row>
    <row r="68" spans="1:18">
      <c r="A68" s="79" t="s">
        <v>203</v>
      </c>
      <c r="B68" s="144">
        <v>0.1</v>
      </c>
      <c r="C68" s="462">
        <v>0.4</v>
      </c>
      <c r="D68" s="460"/>
      <c r="E68" s="460"/>
      <c r="F68" s="460"/>
      <c r="G68" s="460"/>
      <c r="H68" s="460"/>
      <c r="I68" s="460"/>
      <c r="J68" s="79"/>
    </row>
    <row r="69" spans="1:18">
      <c r="A69" s="79" t="s">
        <v>267</v>
      </c>
      <c r="B69" s="144">
        <v>0.1188</v>
      </c>
      <c r="C69" s="462">
        <v>0.15</v>
      </c>
      <c r="D69" s="460"/>
      <c r="E69" s="460"/>
      <c r="F69" s="460"/>
      <c r="G69" s="460"/>
      <c r="H69" s="460"/>
      <c r="I69" s="460"/>
      <c r="J69" s="79"/>
    </row>
    <row r="70" spans="1:18">
      <c r="A70" s="142" t="s">
        <v>204</v>
      </c>
      <c r="B70" s="144">
        <v>6.3299999999999995E-2</v>
      </c>
      <c r="C70" s="462">
        <v>0.15</v>
      </c>
      <c r="D70" s="460"/>
      <c r="E70" s="460"/>
      <c r="F70" s="460"/>
      <c r="G70" s="460"/>
      <c r="H70" s="460"/>
      <c r="I70" s="460"/>
      <c r="J70" s="79"/>
    </row>
    <row r="71" spans="1:18" ht="29.25">
      <c r="A71" s="140" t="s">
        <v>197</v>
      </c>
      <c r="B71" s="141"/>
      <c r="C71" s="147"/>
      <c r="D71" s="460"/>
      <c r="E71" s="460"/>
      <c r="F71" s="460"/>
      <c r="G71" s="460"/>
      <c r="H71" s="460"/>
      <c r="I71" s="460"/>
      <c r="J71" s="79"/>
    </row>
    <row r="72" spans="1:18">
      <c r="A72" s="142" t="s">
        <v>205</v>
      </c>
      <c r="B72" s="145">
        <v>0.2</v>
      </c>
      <c r="C72" s="463">
        <v>0.2</v>
      </c>
      <c r="D72" s="460"/>
      <c r="E72" s="460"/>
      <c r="F72" s="460"/>
      <c r="G72" s="460"/>
      <c r="H72" s="460"/>
      <c r="I72" s="460"/>
      <c r="J72" s="79"/>
    </row>
    <row r="73" spans="1:18">
      <c r="A73" s="79"/>
      <c r="B73" s="79"/>
      <c r="C73" s="460"/>
      <c r="D73" s="460"/>
      <c r="E73" s="460"/>
      <c r="F73" s="460"/>
      <c r="G73" s="460"/>
      <c r="H73" s="460"/>
      <c r="I73" s="460"/>
      <c r="J73" s="79"/>
    </row>
    <row r="74" spans="1:18">
      <c r="A74" s="79"/>
      <c r="B74" s="79"/>
      <c r="C74" s="460"/>
      <c r="D74" s="460"/>
      <c r="E74" s="464"/>
      <c r="F74" s="460"/>
      <c r="G74" s="460"/>
      <c r="H74" s="460"/>
      <c r="I74" s="460"/>
      <c r="J74" s="79"/>
    </row>
    <row r="75" spans="1:18" s="54" customFormat="1" ht="18.75">
      <c r="A75" s="676" t="s">
        <v>498</v>
      </c>
      <c r="B75" s="676"/>
      <c r="C75" s="676"/>
      <c r="D75" s="676"/>
      <c r="E75" s="676"/>
      <c r="F75" s="676"/>
      <c r="G75" s="676"/>
      <c r="H75" s="676"/>
      <c r="I75" s="676"/>
      <c r="J75" s="676"/>
      <c r="K75" s="465"/>
      <c r="L75" s="465"/>
      <c r="M75" s="465"/>
      <c r="N75" s="465"/>
      <c r="O75" s="465"/>
      <c r="P75" s="465"/>
      <c r="Q75" s="465"/>
      <c r="R75" s="465"/>
    </row>
    <row r="76" spans="1:18" s="54" customFormat="1">
      <c r="A76" s="33"/>
      <c r="B76" s="33"/>
      <c r="C76" s="465"/>
      <c r="D76" s="465"/>
      <c r="E76" s="465"/>
      <c r="F76" s="465"/>
      <c r="G76" s="465"/>
      <c r="H76" s="465"/>
      <c r="I76" s="465"/>
      <c r="K76" s="465"/>
      <c r="L76" s="465"/>
      <c r="M76" s="465"/>
      <c r="N76" s="465"/>
      <c r="O76" s="465"/>
      <c r="P76" s="465"/>
      <c r="Q76" s="465"/>
      <c r="R76" s="465"/>
    </row>
    <row r="77" spans="1:18" s="54" customFormat="1">
      <c r="A77" s="125" t="s">
        <v>0</v>
      </c>
      <c r="B77" s="126" t="s">
        <v>327</v>
      </c>
      <c r="C77" s="466" t="s">
        <v>2</v>
      </c>
      <c r="D77" s="466" t="s">
        <v>3</v>
      </c>
      <c r="E77" s="466" t="s">
        <v>4</v>
      </c>
      <c r="F77" s="466" t="s">
        <v>5</v>
      </c>
      <c r="G77" s="466" t="s">
        <v>6</v>
      </c>
      <c r="H77" s="466" t="s">
        <v>163</v>
      </c>
      <c r="I77" s="466" t="s">
        <v>162</v>
      </c>
      <c r="J77" s="35"/>
      <c r="K77" s="469"/>
      <c r="L77" s="469"/>
      <c r="M77" s="465"/>
      <c r="N77" s="465"/>
      <c r="O77" s="465"/>
      <c r="P77" s="465"/>
      <c r="Q77" s="465"/>
      <c r="R77" s="465"/>
    </row>
    <row r="78" spans="1:18" s="54" customFormat="1">
      <c r="A78" s="127" t="s">
        <v>246</v>
      </c>
      <c r="B78" s="128">
        <v>7</v>
      </c>
      <c r="C78" s="467">
        <f>'1.Project Cost and MOF'!$D$10/$B$78</f>
        <v>1.28345</v>
      </c>
      <c r="D78" s="467">
        <f>'1.Project Cost and MOF'!$D$10/$B$78</f>
        <v>1.28345</v>
      </c>
      <c r="E78" s="467">
        <f>'1.Project Cost and MOF'!$D$10/$B$78</f>
        <v>1.28345</v>
      </c>
      <c r="F78" s="467">
        <f>'1.Project Cost and MOF'!$D$10/$B$78</f>
        <v>1.28345</v>
      </c>
      <c r="G78" s="467">
        <f>'1.Project Cost and MOF'!$D$10/$B$78</f>
        <v>1.28345</v>
      </c>
      <c r="H78" s="467">
        <f>'1.Project Cost and MOF'!$D$10/$B$78</f>
        <v>1.28345</v>
      </c>
      <c r="I78" s="467">
        <f>'1.Project Cost and MOF'!$D$10/$B$78</f>
        <v>1.28345</v>
      </c>
      <c r="J78" s="35"/>
      <c r="K78" s="469"/>
      <c r="L78" s="469"/>
      <c r="M78" s="465"/>
      <c r="N78" s="465"/>
      <c r="O78" s="465"/>
      <c r="P78" s="465"/>
      <c r="Q78" s="465"/>
      <c r="R78" s="465"/>
    </row>
    <row r="79" spans="1:18" s="54" customFormat="1">
      <c r="A79" s="129" t="s">
        <v>328</v>
      </c>
      <c r="B79" s="130"/>
      <c r="C79" s="468">
        <f t="shared" ref="C79:I79" si="52">SUM(C77:C78)</f>
        <v>1.28345</v>
      </c>
      <c r="D79" s="468">
        <f t="shared" si="52"/>
        <v>1.28345</v>
      </c>
      <c r="E79" s="468">
        <f t="shared" si="52"/>
        <v>1.28345</v>
      </c>
      <c r="F79" s="468">
        <f t="shared" si="52"/>
        <v>1.28345</v>
      </c>
      <c r="G79" s="468">
        <f t="shared" si="52"/>
        <v>1.28345</v>
      </c>
      <c r="H79" s="468">
        <f t="shared" si="52"/>
        <v>1.28345</v>
      </c>
      <c r="I79" s="468">
        <f t="shared" si="52"/>
        <v>1.28345</v>
      </c>
      <c r="J79" s="55"/>
      <c r="K79" s="479"/>
      <c r="L79" s="479"/>
      <c r="M79" s="465"/>
      <c r="N79" s="465"/>
      <c r="O79" s="465"/>
      <c r="P79" s="465"/>
      <c r="Q79" s="465"/>
      <c r="R79" s="465"/>
    </row>
    <row r="80" spans="1:18" s="54" customFormat="1">
      <c r="C80" s="469"/>
      <c r="D80" s="469"/>
      <c r="E80" s="469"/>
      <c r="F80" s="469"/>
      <c r="G80" s="469"/>
      <c r="H80" s="469"/>
      <c r="I80" s="469"/>
      <c r="J80" s="35"/>
      <c r="K80" s="469"/>
      <c r="L80" s="469"/>
      <c r="M80" s="465"/>
      <c r="N80" s="465"/>
      <c r="O80" s="465"/>
      <c r="P80" s="465"/>
      <c r="Q80" s="465"/>
      <c r="R80" s="465"/>
    </row>
    <row r="83" spans="1:17">
      <c r="A83" s="31"/>
      <c r="B83" s="32"/>
      <c r="C83" s="470"/>
      <c r="D83" s="470"/>
      <c r="E83" s="470"/>
      <c r="F83" s="470"/>
      <c r="G83" s="470"/>
      <c r="H83" s="470"/>
      <c r="I83" s="470"/>
      <c r="J83" s="32"/>
      <c r="K83" s="470"/>
    </row>
    <row r="84" spans="1:17" ht="18.75">
      <c r="A84" s="706" t="s">
        <v>499</v>
      </c>
      <c r="B84" s="706"/>
      <c r="C84" s="706"/>
      <c r="D84" s="706"/>
      <c r="E84" s="706"/>
      <c r="F84" s="706"/>
      <c r="G84" s="706"/>
      <c r="H84" s="706"/>
      <c r="I84" s="471"/>
      <c r="J84" s="124"/>
      <c r="K84" s="471"/>
      <c r="Q84" s="18">
        <v>10000000</v>
      </c>
    </row>
    <row r="85" spans="1:17">
      <c r="A85" s="33"/>
      <c r="B85" s="32"/>
      <c r="C85" s="470"/>
      <c r="D85" s="470"/>
      <c r="E85" s="470"/>
      <c r="F85" s="470"/>
      <c r="G85" s="470"/>
      <c r="H85" s="470"/>
      <c r="I85" s="470"/>
      <c r="J85" s="32"/>
      <c r="K85" s="470"/>
      <c r="Q85" s="18">
        <f>+Q84*2%</f>
        <v>200000</v>
      </c>
    </row>
    <row r="86" spans="1:17">
      <c r="A86" s="122" t="s">
        <v>0</v>
      </c>
      <c r="B86" s="102" t="s">
        <v>2</v>
      </c>
      <c r="C86" s="472" t="s">
        <v>3</v>
      </c>
      <c r="D86" s="472" t="s">
        <v>4</v>
      </c>
      <c r="E86" s="472" t="s">
        <v>5</v>
      </c>
      <c r="F86" s="472" t="s">
        <v>6</v>
      </c>
      <c r="G86" s="472" t="s">
        <v>163</v>
      </c>
      <c r="H86" s="472" t="s">
        <v>162</v>
      </c>
      <c r="I86" s="473"/>
      <c r="J86" s="26"/>
      <c r="K86" s="473"/>
    </row>
    <row r="87" spans="1:17">
      <c r="A87" s="75" t="s">
        <v>218</v>
      </c>
      <c r="B87" s="484">
        <f>'6.Cons Profit &amp; Loss'!B54</f>
        <v>33.60891327328514</v>
      </c>
      <c r="C87" s="484">
        <f>'6.Cons Profit &amp; Loss'!C54</f>
        <v>40.172003953327405</v>
      </c>
      <c r="D87" s="484">
        <f>'6.Cons Profit &amp; Loss'!D54</f>
        <v>44.898376888318502</v>
      </c>
      <c r="E87" s="484">
        <f>'6.Cons Profit &amp; Loss'!E54</f>
        <v>49.106559485853879</v>
      </c>
      <c r="F87" s="484">
        <f>'6.Cons Profit &amp; Loss'!F54</f>
        <v>52.660654035211273</v>
      </c>
      <c r="G87" s="484">
        <f>'6.Cons Profit &amp; Loss'!G54</f>
        <v>61.388219089761748</v>
      </c>
      <c r="H87" s="484">
        <f>'6.Cons Profit &amp; Loss'!H54</f>
        <v>72.741075345002912</v>
      </c>
      <c r="I87" s="474"/>
      <c r="J87" s="34"/>
      <c r="K87" s="474"/>
    </row>
    <row r="88" spans="1:17">
      <c r="A88" s="75" t="s">
        <v>219</v>
      </c>
      <c r="B88" s="484">
        <f>'6.Cons Profit &amp; Loss'!B46</f>
        <v>7.4397339000000002</v>
      </c>
      <c r="C88" s="484">
        <f>'6.Cons Profit &amp; Loss'!C46</f>
        <v>7.4397339000000002</v>
      </c>
      <c r="D88" s="484">
        <f>'6.Cons Profit &amp; Loss'!D46</f>
        <v>7.4397339000000002</v>
      </c>
      <c r="E88" s="484">
        <f>'6.Cons Profit &amp; Loss'!E46</f>
        <v>7.4397339000000002</v>
      </c>
      <c r="F88" s="484">
        <f>'6.Cons Profit &amp; Loss'!F46</f>
        <v>7.4397339000000002</v>
      </c>
      <c r="G88" s="484">
        <f>'6.Cons Profit &amp; Loss'!G46</f>
        <v>7.4397339000000002</v>
      </c>
      <c r="H88" s="484">
        <f>'6.Cons Profit &amp; Loss'!H46</f>
        <v>7.4397339000000002</v>
      </c>
      <c r="I88" s="474"/>
      <c r="J88" s="34"/>
      <c r="K88" s="474"/>
    </row>
    <row r="89" spans="1:17">
      <c r="A89" s="75" t="s">
        <v>220</v>
      </c>
      <c r="B89" s="484">
        <f>'3.Other Exp &amp; Taxes'!K58</f>
        <v>20.727450000000001</v>
      </c>
      <c r="C89" s="484">
        <f>'3.Other Exp &amp; Taxes'!L58</f>
        <v>18.2408325</v>
      </c>
      <c r="D89" s="484">
        <f>'3.Other Exp &amp; Taxes'!M58</f>
        <v>16.064957624999998</v>
      </c>
      <c r="E89" s="484">
        <f>'3.Other Exp &amp; Taxes'!N58</f>
        <v>14.15943898125</v>
      </c>
      <c r="F89" s="484">
        <f>'3.Other Exp &amp; Taxes'!O58</f>
        <v>12.489325634062499</v>
      </c>
      <c r="G89" s="484">
        <f>'3.Other Exp &amp; Taxes'!P58</f>
        <v>11.024349038953124</v>
      </c>
      <c r="H89" s="484">
        <f>'3.Other Exp &amp; Taxes'!Q58</f>
        <v>9.7382767081101544</v>
      </c>
      <c r="I89" s="474"/>
      <c r="J89" s="34"/>
      <c r="K89" s="474"/>
    </row>
    <row r="90" spans="1:17">
      <c r="A90" s="75" t="s">
        <v>918</v>
      </c>
      <c r="B90" s="484">
        <v>0</v>
      </c>
      <c r="C90" s="484">
        <f>-B90</f>
        <v>0</v>
      </c>
      <c r="D90" s="484">
        <v>0</v>
      </c>
      <c r="E90" s="484">
        <v>0</v>
      </c>
      <c r="F90" s="484">
        <v>0</v>
      </c>
      <c r="G90" s="484">
        <v>0</v>
      </c>
      <c r="H90" s="484">
        <v>0</v>
      </c>
      <c r="I90" s="474"/>
      <c r="J90" s="34"/>
      <c r="K90" s="474"/>
    </row>
    <row r="91" spans="1:17">
      <c r="A91" s="75" t="s">
        <v>279</v>
      </c>
      <c r="B91" s="484">
        <f>B87+B88-B89-B90</f>
        <v>20.321197173285139</v>
      </c>
      <c r="C91" s="484">
        <f>C87+C88-C89-C90</f>
        <v>29.370905353327405</v>
      </c>
      <c r="D91" s="484">
        <f t="shared" ref="D91:H91" si="53">D87+D88-D89</f>
        <v>36.273153163318504</v>
      </c>
      <c r="E91" s="484">
        <f t="shared" si="53"/>
        <v>42.386854404603881</v>
      </c>
      <c r="F91" s="484">
        <f t="shared" si="53"/>
        <v>47.611062301148777</v>
      </c>
      <c r="G91" s="484">
        <f t="shared" si="53"/>
        <v>57.803603950808615</v>
      </c>
      <c r="H91" s="484">
        <f t="shared" si="53"/>
        <v>70.442532536892756</v>
      </c>
      <c r="I91" s="474"/>
      <c r="J91" s="34"/>
      <c r="K91" s="474"/>
    </row>
    <row r="92" spans="1:17">
      <c r="A92" s="610" t="s">
        <v>221</v>
      </c>
      <c r="B92" s="611">
        <f>+$B$95*B91</f>
        <v>5.2835112650541367</v>
      </c>
      <c r="C92" s="611">
        <f t="shared" ref="C92:H92" si="54">+$B$95*C91</f>
        <v>7.6364353918651258</v>
      </c>
      <c r="D92" s="611">
        <f t="shared" si="54"/>
        <v>9.4310198224628117</v>
      </c>
      <c r="E92" s="611">
        <f t="shared" si="54"/>
        <v>11.020582145197009</v>
      </c>
      <c r="F92" s="611">
        <f t="shared" si="54"/>
        <v>12.378876198298682</v>
      </c>
      <c r="G92" s="611">
        <f t="shared" si="54"/>
        <v>15.02893702721024</v>
      </c>
      <c r="H92" s="611">
        <f t="shared" si="54"/>
        <v>18.315058459592116</v>
      </c>
      <c r="I92" s="474"/>
      <c r="J92" s="34"/>
      <c r="K92" s="474"/>
    </row>
    <row r="93" spans="1:17">
      <c r="A93" s="614"/>
      <c r="B93" s="615"/>
      <c r="C93" s="470"/>
      <c r="D93" s="470"/>
      <c r="E93" s="470"/>
      <c r="F93" s="470"/>
      <c r="G93" s="470"/>
      <c r="H93" s="470"/>
      <c r="I93" s="470"/>
      <c r="J93" s="32"/>
      <c r="K93" s="470"/>
    </row>
    <row r="94" spans="1:17">
      <c r="A94" s="612"/>
      <c r="B94" s="35"/>
      <c r="C94" s="469"/>
      <c r="D94" s="469"/>
      <c r="E94" s="469"/>
      <c r="F94" s="469"/>
      <c r="G94" s="469"/>
      <c r="H94" s="469"/>
      <c r="I94" s="469"/>
      <c r="J94" s="35"/>
      <c r="K94" s="469"/>
    </row>
    <row r="95" spans="1:17">
      <c r="A95" s="613" t="s">
        <v>379</v>
      </c>
      <c r="B95" s="239">
        <v>0.26</v>
      </c>
      <c r="C95" s="469"/>
      <c r="D95" s="469"/>
      <c r="E95" s="469"/>
      <c r="F95" s="469"/>
      <c r="G95" s="469"/>
      <c r="H95" s="469"/>
      <c r="I95" s="469"/>
      <c r="J95" s="35"/>
      <c r="K95" s="469"/>
    </row>
    <row r="96" spans="1:17">
      <c r="A96" s="32"/>
      <c r="B96" s="32"/>
      <c r="C96" s="470"/>
      <c r="D96" s="470"/>
      <c r="E96" s="470"/>
      <c r="F96" s="470"/>
      <c r="G96" s="470"/>
      <c r="H96" s="470"/>
      <c r="I96" s="470"/>
      <c r="J96" s="32"/>
      <c r="K96" s="470"/>
    </row>
    <row r="97" spans="1:11" ht="29.1" customHeight="1">
      <c r="A97" s="707" t="s">
        <v>404</v>
      </c>
      <c r="B97" s="707"/>
      <c r="C97" s="707"/>
      <c r="D97" s="707"/>
      <c r="E97" s="707"/>
      <c r="F97" s="707"/>
      <c r="G97" s="707"/>
      <c r="H97" s="707"/>
      <c r="I97" s="470"/>
      <c r="J97" s="30"/>
      <c r="K97" s="470"/>
    </row>
  </sheetData>
  <mergeCells count="8">
    <mergeCell ref="A2:I2"/>
    <mergeCell ref="A75:J75"/>
    <mergeCell ref="A84:H84"/>
    <mergeCell ref="A97:H97"/>
    <mergeCell ref="A20:O20"/>
    <mergeCell ref="C23:I23"/>
    <mergeCell ref="K23:Q23"/>
    <mergeCell ref="A21:Q21"/>
  </mergeCells>
  <pageMargins left="0.7" right="0.7" top="0.75" bottom="0.75" header="0.3" footer="0.3"/>
  <pageSetup paperSize="9" scale="51" orientation="portrait" r:id="rId1"/>
  <colBreaks count="1" manualBreakCount="1">
    <brk id="10" max="11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2"/>
  <sheetViews>
    <sheetView view="pageBreakPreview" topLeftCell="A2" zoomScale="115" zoomScaleNormal="100" zoomScaleSheetLayoutView="115" workbookViewId="0">
      <selection activeCell="A11" sqref="A11:H46"/>
    </sheetView>
  </sheetViews>
  <sheetFormatPr defaultRowHeight="15"/>
  <cols>
    <col min="1" max="1" width="17.5703125" customWidth="1"/>
    <col min="2" max="2" width="23.28515625" bestFit="1" customWidth="1"/>
    <col min="3" max="8" width="12.140625" customWidth="1"/>
    <col min="9" max="9" width="11.42578125" bestFit="1" customWidth="1"/>
    <col min="10" max="10" width="9.140625" bestFit="1" customWidth="1"/>
    <col min="15" max="17" width="11.5703125" bestFit="1" customWidth="1"/>
    <col min="18" max="18" width="11.28515625" bestFit="1" customWidth="1"/>
    <col min="19" max="19" width="10.85546875" bestFit="1" customWidth="1"/>
    <col min="20" max="21" width="11" bestFit="1" customWidth="1"/>
  </cols>
  <sheetData>
    <row r="1" spans="1:24" ht="18.75">
      <c r="A1" s="676" t="s">
        <v>538</v>
      </c>
      <c r="B1" s="676"/>
      <c r="C1" s="676"/>
      <c r="D1" s="676"/>
      <c r="E1" s="676"/>
      <c r="F1" s="676"/>
      <c r="G1" s="676"/>
      <c r="H1" s="676"/>
    </row>
    <row r="2" spans="1:24">
      <c r="B2" s="4"/>
    </row>
    <row r="3" spans="1:24" ht="18.75">
      <c r="A3" s="717" t="s">
        <v>512</v>
      </c>
      <c r="B3" s="717"/>
    </row>
    <row r="4" spans="1:24">
      <c r="A4" s="245" t="s">
        <v>0</v>
      </c>
      <c r="B4" s="262" t="s">
        <v>378</v>
      </c>
      <c r="C4" s="263"/>
      <c r="D4" s="263"/>
      <c r="E4" s="263"/>
      <c r="F4" s="263"/>
      <c r="G4" s="263"/>
      <c r="H4" s="263"/>
    </row>
    <row r="5" spans="1:24">
      <c r="A5" s="10" t="s">
        <v>457</v>
      </c>
      <c r="B5" s="242">
        <v>620</v>
      </c>
      <c r="C5" s="264"/>
      <c r="D5" s="265"/>
      <c r="E5" s="265"/>
      <c r="F5" s="265"/>
      <c r="G5" s="265"/>
      <c r="H5" s="265"/>
      <c r="K5">
        <f>+B5</f>
        <v>620</v>
      </c>
      <c r="L5" s="638">
        <f>+K5*1.2</f>
        <v>744</v>
      </c>
      <c r="M5" s="638">
        <f t="shared" ref="M5:Q6" si="0">+L5*1.2</f>
        <v>892.8</v>
      </c>
      <c r="N5" s="638">
        <f t="shared" si="0"/>
        <v>1071.3599999999999</v>
      </c>
      <c r="O5" s="638">
        <f t="shared" si="0"/>
        <v>1285.6319999999998</v>
      </c>
      <c r="P5" s="638">
        <f t="shared" si="0"/>
        <v>1542.7583999999997</v>
      </c>
      <c r="Q5" s="638">
        <f t="shared" si="0"/>
        <v>1851.3100799999995</v>
      </c>
    </row>
    <row r="6" spans="1:24">
      <c r="A6" s="10" t="s">
        <v>458</v>
      </c>
      <c r="B6" s="242">
        <v>2000</v>
      </c>
      <c r="C6" s="264"/>
      <c r="D6" s="265"/>
      <c r="E6" s="265"/>
      <c r="F6" s="265"/>
      <c r="G6" s="265"/>
      <c r="H6" s="265"/>
      <c r="K6">
        <f>+B6</f>
        <v>2000</v>
      </c>
      <c r="L6">
        <f>+K6*1.2</f>
        <v>2400</v>
      </c>
      <c r="M6">
        <f t="shared" si="0"/>
        <v>2880</v>
      </c>
      <c r="N6">
        <v>3000</v>
      </c>
      <c r="O6">
        <v>3200</v>
      </c>
      <c r="P6">
        <v>3400</v>
      </c>
      <c r="Q6">
        <v>3500</v>
      </c>
    </row>
    <row r="7" spans="1:24">
      <c r="A7" s="2" t="s">
        <v>1</v>
      </c>
      <c r="B7" s="281">
        <f>B5+B6</f>
        <v>2620</v>
      </c>
      <c r="C7" s="266"/>
      <c r="D7" s="267"/>
      <c r="E7" s="267"/>
      <c r="F7" s="267"/>
      <c r="G7" s="267"/>
      <c r="H7" s="267"/>
    </row>
    <row r="8" spans="1:24">
      <c r="A8" s="2" t="s">
        <v>637</v>
      </c>
      <c r="B8" s="280">
        <v>1.2</v>
      </c>
      <c r="C8" s="266"/>
      <c r="D8" s="266"/>
      <c r="E8" s="266"/>
      <c r="F8" s="266"/>
      <c r="G8" s="266"/>
      <c r="H8" s="266"/>
    </row>
    <row r="9" spans="1:24">
      <c r="A9" s="2" t="s">
        <v>638</v>
      </c>
      <c r="B9" s="281">
        <f>+B7*B8</f>
        <v>3144</v>
      </c>
      <c r="C9" s="267"/>
      <c r="D9" s="267"/>
      <c r="E9" s="267"/>
      <c r="F9" s="267"/>
      <c r="G9" s="267"/>
      <c r="H9" s="267"/>
    </row>
    <row r="11" spans="1:24" ht="18.75">
      <c r="A11" s="676" t="s">
        <v>513</v>
      </c>
      <c r="B11" s="676"/>
      <c r="C11" s="676"/>
      <c r="D11" s="676"/>
      <c r="E11" s="676"/>
      <c r="F11" s="676"/>
      <c r="G11" s="676"/>
      <c r="H11" s="676"/>
      <c r="I11" s="241"/>
      <c r="J11" s="241"/>
      <c r="K11" s="241"/>
      <c r="L11" s="241"/>
      <c r="M11" s="241"/>
      <c r="N11" s="241"/>
      <c r="O11" s="241"/>
      <c r="P11" s="241"/>
    </row>
    <row r="12" spans="1:24">
      <c r="J12" s="3"/>
      <c r="K12" s="259"/>
      <c r="L12" s="259"/>
      <c r="M12" s="259"/>
      <c r="N12" s="259"/>
      <c r="O12" s="3"/>
      <c r="P12" s="3"/>
      <c r="Q12" s="3"/>
      <c r="R12" s="3"/>
      <c r="S12" s="3"/>
      <c r="T12" s="3"/>
      <c r="U12" s="3"/>
      <c r="V12" s="6"/>
      <c r="W12" s="6"/>
      <c r="X12" s="6"/>
    </row>
    <row r="13" spans="1:24" ht="60">
      <c r="A13" s="245" t="s">
        <v>380</v>
      </c>
      <c r="B13" s="245" t="s">
        <v>381</v>
      </c>
      <c r="C13" s="246" t="s">
        <v>433</v>
      </c>
      <c r="D13" s="246" t="s">
        <v>639</v>
      </c>
      <c r="E13" s="246" t="s">
        <v>797</v>
      </c>
      <c r="F13" s="246" t="s">
        <v>798</v>
      </c>
      <c r="G13" s="246" t="s">
        <v>582</v>
      </c>
      <c r="H13" s="246" t="s">
        <v>799</v>
      </c>
      <c r="O13" s="258"/>
      <c r="P13" s="258"/>
      <c r="Q13" s="258"/>
      <c r="R13" s="258"/>
      <c r="S13" s="258"/>
      <c r="T13" s="258"/>
      <c r="U13" s="258"/>
      <c r="V13" s="258"/>
      <c r="W13" s="258"/>
      <c r="X13" s="258"/>
    </row>
    <row r="14" spans="1:24">
      <c r="A14" s="718" t="s">
        <v>382</v>
      </c>
      <c r="B14" s="242"/>
      <c r="C14" s="256"/>
      <c r="D14" s="530"/>
      <c r="E14" s="243"/>
      <c r="F14" s="10"/>
      <c r="G14" s="257"/>
      <c r="H14" s="609"/>
      <c r="J14" s="529">
        <v>612</v>
      </c>
    </row>
    <row r="15" spans="1:24">
      <c r="A15" s="719"/>
      <c r="B15" s="242" t="s">
        <v>910</v>
      </c>
      <c r="C15" s="256">
        <v>0.63321081896145515</v>
      </c>
      <c r="D15" s="530">
        <f>+C15*$B$9</f>
        <v>1990.814814814815</v>
      </c>
      <c r="E15" s="243">
        <v>1.5</v>
      </c>
      <c r="F15" s="652">
        <f>+D15*E15</f>
        <v>2986.2222222222226</v>
      </c>
      <c r="G15" s="257">
        <v>0.1</v>
      </c>
      <c r="H15" s="609">
        <f>+F15*0.9</f>
        <v>2687.6000000000004</v>
      </c>
      <c r="I15" s="319"/>
      <c r="J15" s="529">
        <v>531</v>
      </c>
    </row>
    <row r="16" spans="1:24">
      <c r="A16" s="719"/>
      <c r="B16" s="242" t="s">
        <v>882</v>
      </c>
      <c r="C16" s="256">
        <v>0.27137606526919505</v>
      </c>
      <c r="D16" s="530">
        <f>+C16*$B$9</f>
        <v>853.20634920634927</v>
      </c>
      <c r="E16" s="243">
        <v>1.75</v>
      </c>
      <c r="F16" s="652">
        <f>+D16*E16</f>
        <v>1493.1111111111113</v>
      </c>
      <c r="G16" s="257">
        <v>0.1</v>
      </c>
      <c r="H16" s="609">
        <f>+F16*0.9</f>
        <v>1343.8000000000002</v>
      </c>
      <c r="J16" s="529">
        <v>531</v>
      </c>
    </row>
    <row r="17" spans="1:28">
      <c r="A17" s="279"/>
      <c r="B17" s="278"/>
      <c r="C17" s="256">
        <v>0</v>
      </c>
      <c r="D17" s="530">
        <f t="shared" ref="D17:D18" si="1">+$B$9*C17</f>
        <v>0</v>
      </c>
      <c r="E17" s="243">
        <v>0</v>
      </c>
      <c r="F17" s="652">
        <f t="shared" ref="F17:F18" si="2">+D17*E17</f>
        <v>0</v>
      </c>
      <c r="G17" s="257">
        <v>0.1</v>
      </c>
      <c r="H17" s="609"/>
      <c r="J17" s="529">
        <v>0</v>
      </c>
    </row>
    <row r="18" spans="1:28">
      <c r="A18" s="279" t="s">
        <v>460</v>
      </c>
      <c r="B18" s="278"/>
      <c r="C18" s="256"/>
      <c r="D18" s="530">
        <f t="shared" si="1"/>
        <v>0</v>
      </c>
      <c r="E18" s="243">
        <v>37</v>
      </c>
      <c r="F18" s="652">
        <f t="shared" si="2"/>
        <v>0</v>
      </c>
      <c r="G18" s="257">
        <v>0.1</v>
      </c>
      <c r="H18" s="609">
        <f t="shared" ref="H18" si="3">+F18*0.8</f>
        <v>0</v>
      </c>
      <c r="J18" s="529">
        <v>450</v>
      </c>
    </row>
    <row r="19" spans="1:28">
      <c r="A19" s="279" t="s">
        <v>915</v>
      </c>
      <c r="B19" s="242" t="s">
        <v>876</v>
      </c>
      <c r="C19" s="256">
        <v>0.75985298275374624</v>
      </c>
      <c r="D19" s="530">
        <f>+C19*$B$9</f>
        <v>2388.9777777777781</v>
      </c>
      <c r="E19" s="243">
        <v>1.25</v>
      </c>
      <c r="F19" s="652">
        <f>+D19*E19</f>
        <v>2986.2222222222226</v>
      </c>
      <c r="G19" s="257">
        <v>0.1</v>
      </c>
      <c r="H19" s="609">
        <f>+F19*0.9</f>
        <v>2687.6000000000004</v>
      </c>
      <c r="J19" s="529"/>
    </row>
    <row r="20" spans="1:28">
      <c r="A20" s="279" t="s">
        <v>461</v>
      </c>
      <c r="B20" s="278"/>
      <c r="C20" s="242">
        <v>0</v>
      </c>
      <c r="D20" s="530"/>
      <c r="E20" s="243"/>
      <c r="F20" s="10"/>
      <c r="G20" s="257"/>
      <c r="H20" s="609">
        <f>SUM(H15:H19)</f>
        <v>6719.0000000000009</v>
      </c>
    </row>
    <row r="21" spans="1:28">
      <c r="A21" s="720" t="s">
        <v>383</v>
      </c>
      <c r="B21" s="720"/>
      <c r="C21" s="720"/>
      <c r="D21" s="720"/>
      <c r="E21" s="720"/>
      <c r="F21" s="720"/>
      <c r="G21" s="720"/>
      <c r="H21" s="720"/>
      <c r="S21">
        <f>+S22-O22</f>
        <v>349.99359999999979</v>
      </c>
      <c r="T21">
        <f>+T22-P22</f>
        <v>419.99231999999978</v>
      </c>
      <c r="U21">
        <f>+U22-Q22</f>
        <v>503.99078399999973</v>
      </c>
      <c r="AA21">
        <v>391</v>
      </c>
      <c r="AB21" s="4">
        <v>0.35</v>
      </c>
    </row>
    <row r="22" spans="1:28">
      <c r="O22" s="638">
        <v>326</v>
      </c>
      <c r="P22" s="638">
        <f>+O22*1.2</f>
        <v>391.2</v>
      </c>
      <c r="Q22" s="638">
        <f t="shared" ref="Q22:U23" si="4">+P22*1.2</f>
        <v>469.43999999999994</v>
      </c>
      <c r="R22" s="638">
        <f t="shared" si="4"/>
        <v>563.32799999999986</v>
      </c>
      <c r="S22" s="638">
        <f t="shared" si="4"/>
        <v>675.99359999999979</v>
      </c>
      <c r="T22" s="638">
        <f t="shared" si="4"/>
        <v>811.19231999999977</v>
      </c>
      <c r="U22" s="638">
        <f t="shared" si="4"/>
        <v>973.43078399999968</v>
      </c>
      <c r="AB22">
        <f>+AA21*AB21</f>
        <v>136.85</v>
      </c>
    </row>
    <row r="23" spans="1:28" ht="18.75">
      <c r="A23" s="721" t="s">
        <v>914</v>
      </c>
      <c r="B23" s="722"/>
      <c r="C23" s="722"/>
      <c r="D23" s="722"/>
      <c r="E23" s="722"/>
      <c r="F23" s="722"/>
      <c r="G23" s="722"/>
      <c r="H23" s="723"/>
      <c r="O23" s="638">
        <v>1000</v>
      </c>
      <c r="P23" s="638">
        <f>+O23*1.2</f>
        <v>1200</v>
      </c>
      <c r="Q23" s="638">
        <f t="shared" si="4"/>
        <v>1440</v>
      </c>
      <c r="R23" s="638">
        <f t="shared" si="4"/>
        <v>1728</v>
      </c>
      <c r="S23" s="638">
        <f>+R23-S21</f>
        <v>1378.0064000000002</v>
      </c>
      <c r="T23" s="638">
        <f>+T24-T22</f>
        <v>1242.8076800000003</v>
      </c>
      <c r="U23" s="638">
        <f>+U24-U22</f>
        <v>1080.5692160000003</v>
      </c>
    </row>
    <row r="24" spans="1:28">
      <c r="A24" s="724" t="s">
        <v>0</v>
      </c>
      <c r="B24" s="647">
        <v>0.7</v>
      </c>
      <c r="C24" s="647">
        <f>+B24+(C26-B26)/B26</f>
        <v>0.7</v>
      </c>
      <c r="D24" s="647">
        <f t="shared" ref="D24:H24" si="5">+C24+(D26-C26)/C26</f>
        <v>0.7</v>
      </c>
      <c r="E24" s="647">
        <f t="shared" si="5"/>
        <v>0.7</v>
      </c>
      <c r="F24" s="647">
        <f t="shared" si="5"/>
        <v>0.7</v>
      </c>
      <c r="G24" s="647">
        <f t="shared" si="5"/>
        <v>0.77142857142857135</v>
      </c>
      <c r="H24" s="647">
        <f t="shared" si="5"/>
        <v>0.838095238095238</v>
      </c>
      <c r="S24">
        <f>SUM(S22:S23)</f>
        <v>2054</v>
      </c>
      <c r="T24">
        <v>2054</v>
      </c>
      <c r="U24">
        <v>2054</v>
      </c>
    </row>
    <row r="25" spans="1:28">
      <c r="A25" s="725"/>
      <c r="B25" s="262" t="s">
        <v>2</v>
      </c>
      <c r="C25" s="262" t="s">
        <v>3</v>
      </c>
      <c r="D25" s="262" t="s">
        <v>4</v>
      </c>
      <c r="E25" s="262" t="s">
        <v>5</v>
      </c>
      <c r="F25" s="262" t="s">
        <v>6</v>
      </c>
      <c r="G25" s="262" t="s">
        <v>163</v>
      </c>
      <c r="H25" s="262" t="s">
        <v>162</v>
      </c>
    </row>
    <row r="26" spans="1:28">
      <c r="A26" s="10" t="str">
        <f>+B19</f>
        <v>Chana</v>
      </c>
      <c r="B26" s="652">
        <f>+'13.Facility 2 Grain Processing-'!J32</f>
        <v>1881.6000000000001</v>
      </c>
      <c r="C26" s="652">
        <f>+'13.Facility 2 Grain Processing-'!K32</f>
        <v>1881.6000000000001</v>
      </c>
      <c r="D26" s="652">
        <f>+'13.Facility 2 Grain Processing-'!L32</f>
        <v>1881.6000000000001</v>
      </c>
      <c r="E26" s="652">
        <f>+'13.Facility 2 Grain Processing-'!M32</f>
        <v>1881.6000000000001</v>
      </c>
      <c r="F26" s="652">
        <f>+'13.Facility 2 Grain Processing-'!N32</f>
        <v>1881.6000000000001</v>
      </c>
      <c r="G26" s="652">
        <f>+'13.Facility 2 Grain Processing-'!O32</f>
        <v>2016</v>
      </c>
      <c r="H26" s="652">
        <f>+'13.Facility 2 Grain Processing-'!P32</f>
        <v>2150.4</v>
      </c>
    </row>
    <row r="27" spans="1:28">
      <c r="A27" s="10" t="str">
        <f>B15</f>
        <v>Soyabean</v>
      </c>
      <c r="B27" s="652">
        <f>+'13.Facility 2 Grain Processing-'!J33</f>
        <v>1881.6000000000001</v>
      </c>
      <c r="C27" s="652">
        <f>+'13.Facility 2 Grain Processing-'!K33</f>
        <v>1881.6000000000001</v>
      </c>
      <c r="D27" s="652">
        <f>+'13.Facility 2 Grain Processing-'!L33</f>
        <v>1881.6000000000001</v>
      </c>
      <c r="E27" s="652">
        <f>+'13.Facility 2 Grain Processing-'!M33</f>
        <v>1881.6000000000001</v>
      </c>
      <c r="F27" s="652">
        <f>+'13.Facility 2 Grain Processing-'!N33</f>
        <v>1881.6000000000001</v>
      </c>
      <c r="G27" s="652">
        <f>+'13.Facility 2 Grain Processing-'!O33</f>
        <v>2016</v>
      </c>
      <c r="H27" s="652">
        <f>+'13.Facility 2 Grain Processing-'!P33</f>
        <v>2150.4</v>
      </c>
    </row>
    <row r="28" spans="1:28">
      <c r="A28" s="10" t="str">
        <f>B16</f>
        <v>Tur</v>
      </c>
      <c r="B28" s="652">
        <f>+'13.Facility 2 Grain Processing-'!J35</f>
        <v>940.80000000000007</v>
      </c>
      <c r="C28" s="652">
        <f>+'13.Facility 2 Grain Processing-'!K35</f>
        <v>940.80000000000007</v>
      </c>
      <c r="D28" s="652">
        <f>+'13.Facility 2 Grain Processing-'!L35</f>
        <v>940.80000000000007</v>
      </c>
      <c r="E28" s="652">
        <f>+'13.Facility 2 Grain Processing-'!M35</f>
        <v>940.80000000000007</v>
      </c>
      <c r="F28" s="652">
        <f>+'13.Facility 2 Grain Processing-'!N35</f>
        <v>940.80000000000007</v>
      </c>
      <c r="G28" s="652">
        <f>+'13.Facility 2 Grain Processing-'!O35</f>
        <v>1008</v>
      </c>
      <c r="H28" s="652">
        <f>+'13.Facility 2 Grain Processing-'!P35</f>
        <v>1075.2</v>
      </c>
    </row>
    <row r="29" spans="1:28">
      <c r="A29" s="10">
        <f>B17</f>
        <v>0</v>
      </c>
      <c r="B29" s="10"/>
      <c r="C29" s="10"/>
      <c r="D29" s="10"/>
      <c r="E29" s="10"/>
      <c r="F29" s="10"/>
      <c r="G29" s="10"/>
      <c r="H29" s="10"/>
    </row>
    <row r="30" spans="1:28">
      <c r="A30" s="10">
        <f>B18</f>
        <v>0</v>
      </c>
      <c r="B30" s="10"/>
      <c r="C30" s="10"/>
      <c r="D30" s="10"/>
      <c r="E30" s="10"/>
      <c r="F30" s="10"/>
      <c r="G30" s="10"/>
      <c r="H30" s="10"/>
    </row>
    <row r="31" spans="1:28">
      <c r="A31" s="320"/>
      <c r="B31" s="321"/>
      <c r="C31" s="321"/>
      <c r="D31" s="321"/>
      <c r="E31" s="321"/>
      <c r="F31" s="321"/>
      <c r="G31" s="321"/>
      <c r="H31" s="322"/>
    </row>
    <row r="32" spans="1:28" ht="18.75">
      <c r="A32" s="710" t="s">
        <v>514</v>
      </c>
      <c r="B32" s="711"/>
      <c r="C32" s="711"/>
      <c r="D32" s="711"/>
      <c r="E32" s="711"/>
      <c r="F32" s="711"/>
      <c r="G32" s="711"/>
      <c r="H32" s="712"/>
    </row>
    <row r="33" spans="1:10">
      <c r="A33" s="713" t="s">
        <v>0</v>
      </c>
      <c r="B33" s="270">
        <v>0.3</v>
      </c>
      <c r="C33" s="647">
        <f>+B33+(C35-B35)/B35</f>
        <v>0.3</v>
      </c>
      <c r="D33" s="647">
        <f t="shared" ref="D33:H33" si="6">+C33+(D35-C35)/C35</f>
        <v>0.3</v>
      </c>
      <c r="E33" s="647">
        <f t="shared" si="6"/>
        <v>0.3</v>
      </c>
      <c r="F33" s="647">
        <f t="shared" si="6"/>
        <v>0.3</v>
      </c>
      <c r="G33" s="647">
        <f t="shared" si="6"/>
        <v>0.37196029776674938</v>
      </c>
      <c r="H33" s="647">
        <f t="shared" si="6"/>
        <v>0.43908992739637903</v>
      </c>
    </row>
    <row r="34" spans="1:10">
      <c r="A34" s="714"/>
      <c r="B34" s="262" t="s">
        <v>2</v>
      </c>
      <c r="C34" s="262" t="s">
        <v>3</v>
      </c>
      <c r="D34" s="262" t="s">
        <v>4</v>
      </c>
      <c r="E34" s="262" t="s">
        <v>5</v>
      </c>
      <c r="F34" s="262" t="s">
        <v>6</v>
      </c>
      <c r="G34" s="262" t="s">
        <v>163</v>
      </c>
      <c r="H34" s="262" t="s">
        <v>162</v>
      </c>
      <c r="J34" s="529">
        <f>+H15-B36</f>
        <v>1881.6000000000004</v>
      </c>
    </row>
    <row r="35" spans="1:10" s="13" customFormat="1">
      <c r="A35" s="10" t="str">
        <f>+B19</f>
        <v>Chana</v>
      </c>
      <c r="B35" s="10">
        <f>+'13.Facility 2 Grain Processing-'!B32</f>
        <v>806</v>
      </c>
      <c r="C35" s="10">
        <f>+'13.Facility 2 Grain Processing-'!C32</f>
        <v>806</v>
      </c>
      <c r="D35" s="10">
        <f>+'13.Facility 2 Grain Processing-'!D32</f>
        <v>806</v>
      </c>
      <c r="E35" s="10">
        <f>+'13.Facility 2 Grain Processing-'!E32</f>
        <v>806</v>
      </c>
      <c r="F35" s="10">
        <f>+'13.Facility 2 Grain Processing-'!F32</f>
        <v>806</v>
      </c>
      <c r="G35" s="10">
        <f>+'13.Facility 2 Grain Processing-'!G32</f>
        <v>864</v>
      </c>
      <c r="H35" s="10">
        <f>+'13.Facility 2 Grain Processing-'!H32</f>
        <v>922</v>
      </c>
      <c r="J35" s="648">
        <f>+H16-B35</f>
        <v>537.80000000000018</v>
      </c>
    </row>
    <row r="36" spans="1:10">
      <c r="A36" s="10" t="str">
        <f>A27</f>
        <v>Soyabean</v>
      </c>
      <c r="B36" s="10">
        <f>+'13.Facility 2 Grain Processing-'!B33</f>
        <v>806</v>
      </c>
      <c r="C36" s="10">
        <f>+'13.Facility 2 Grain Processing-'!C33</f>
        <v>806</v>
      </c>
      <c r="D36" s="10">
        <f>+'13.Facility 2 Grain Processing-'!D33</f>
        <v>806</v>
      </c>
      <c r="E36" s="10">
        <f>+'13.Facility 2 Grain Processing-'!E33</f>
        <v>806</v>
      </c>
      <c r="F36" s="10">
        <f>+'13.Facility 2 Grain Processing-'!F33</f>
        <v>806</v>
      </c>
      <c r="G36" s="10">
        <f>+'13.Facility 2 Grain Processing-'!G33</f>
        <v>864</v>
      </c>
      <c r="H36" s="10">
        <f>+'13.Facility 2 Grain Processing-'!H33</f>
        <v>922</v>
      </c>
    </row>
    <row r="37" spans="1:10">
      <c r="A37" s="10" t="str">
        <f t="shared" ref="A37" si="7">A28</f>
        <v>Tur</v>
      </c>
      <c r="B37" s="10">
        <f>+'13.Facility 2 Grain Processing-'!B35</f>
        <v>403</v>
      </c>
      <c r="C37" s="10">
        <f>+'13.Facility 2 Grain Processing-'!C35</f>
        <v>403</v>
      </c>
      <c r="D37" s="10">
        <f>+'13.Facility 2 Grain Processing-'!D35</f>
        <v>403</v>
      </c>
      <c r="E37" s="10">
        <f>+'13.Facility 2 Grain Processing-'!E35</f>
        <v>403</v>
      </c>
      <c r="F37" s="10">
        <f>+'13.Facility 2 Grain Processing-'!F35</f>
        <v>403</v>
      </c>
      <c r="G37" s="10">
        <f>+'13.Facility 2 Grain Processing-'!G35</f>
        <v>432</v>
      </c>
      <c r="H37" s="10">
        <f>+'13.Facility 2 Grain Processing-'!H35</f>
        <v>461</v>
      </c>
    </row>
    <row r="38" spans="1:10">
      <c r="A38" s="10"/>
      <c r="B38" s="10"/>
      <c r="C38" s="10"/>
      <c r="D38" s="10"/>
      <c r="E38" s="10"/>
      <c r="F38" s="10"/>
      <c r="G38" s="10"/>
      <c r="H38" s="10"/>
    </row>
    <row r="39" spans="1:10">
      <c r="A39" s="10"/>
      <c r="B39" s="10"/>
      <c r="C39" s="10"/>
      <c r="D39" s="10"/>
      <c r="E39" s="10"/>
      <c r="F39" s="10"/>
      <c r="G39" s="10"/>
      <c r="H39" s="10"/>
    </row>
    <row r="40" spans="1:10">
      <c r="A40" s="10"/>
      <c r="B40" s="10"/>
      <c r="C40" s="10"/>
      <c r="D40" s="10"/>
      <c r="E40" s="10"/>
      <c r="F40" s="10"/>
      <c r="G40" s="10"/>
      <c r="H40" s="10"/>
    </row>
    <row r="41" spans="1:10">
      <c r="A41" s="320"/>
      <c r="B41" s="321"/>
      <c r="C41" s="321"/>
      <c r="D41" s="321"/>
      <c r="E41" s="321"/>
      <c r="F41" s="321"/>
      <c r="G41" s="321"/>
      <c r="H41" s="322"/>
    </row>
    <row r="42" spans="1:10" ht="18.75">
      <c r="A42" s="710" t="s">
        <v>515</v>
      </c>
      <c r="B42" s="711"/>
      <c r="C42" s="711"/>
      <c r="D42" s="711"/>
      <c r="E42" s="711"/>
      <c r="F42" s="711"/>
      <c r="G42" s="711"/>
      <c r="H42" s="712"/>
    </row>
    <row r="43" spans="1:10">
      <c r="A43" s="715" t="s">
        <v>0</v>
      </c>
      <c r="B43" s="287">
        <v>1</v>
      </c>
      <c r="C43" s="287">
        <v>1</v>
      </c>
      <c r="D43" s="287">
        <v>1</v>
      </c>
      <c r="E43" s="287">
        <v>1</v>
      </c>
      <c r="F43" s="287">
        <v>1</v>
      </c>
      <c r="G43" s="287">
        <v>1</v>
      </c>
      <c r="H43" s="287">
        <v>1</v>
      </c>
    </row>
    <row r="44" spans="1:10">
      <c r="A44" s="716"/>
      <c r="B44" s="262" t="s">
        <v>2</v>
      </c>
      <c r="C44" s="262" t="s">
        <v>3</v>
      </c>
      <c r="D44" s="262" t="s">
        <v>4</v>
      </c>
      <c r="E44" s="262" t="s">
        <v>5</v>
      </c>
      <c r="F44" s="262" t="s">
        <v>6</v>
      </c>
      <c r="G44" s="262" t="s">
        <v>163</v>
      </c>
      <c r="H44" s="262" t="s">
        <v>162</v>
      </c>
    </row>
    <row r="45" spans="1:10" s="13" customFormat="1">
      <c r="A45" s="10"/>
      <c r="B45" s="10"/>
      <c r="C45" s="260"/>
      <c r="D45" s="260"/>
      <c r="E45" s="260"/>
      <c r="F45" s="260"/>
      <c r="G45" s="260"/>
      <c r="H45" s="260"/>
    </row>
    <row r="46" spans="1:10">
      <c r="A46" s="10" t="str">
        <f>A36</f>
        <v>Soyabean</v>
      </c>
      <c r="B46" s="10">
        <v>0</v>
      </c>
      <c r="C46" s="260">
        <v>0</v>
      </c>
      <c r="D46" s="260">
        <f t="shared" ref="D46:H46" si="8">(C46/C$43)*D$43</f>
        <v>0</v>
      </c>
      <c r="E46" s="260">
        <f t="shared" si="8"/>
        <v>0</v>
      </c>
      <c r="F46" s="260">
        <f t="shared" si="8"/>
        <v>0</v>
      </c>
      <c r="G46" s="260">
        <f t="shared" si="8"/>
        <v>0</v>
      </c>
      <c r="H46" s="260">
        <f t="shared" si="8"/>
        <v>0</v>
      </c>
    </row>
    <row r="48" spans="1:10">
      <c r="C48" s="4"/>
      <c r="D48" s="6"/>
      <c r="E48" s="6"/>
      <c r="F48" s="6"/>
      <c r="G48" s="6"/>
      <c r="H48" s="6"/>
      <c r="I48" s="6"/>
    </row>
    <row r="49" spans="1:9">
      <c r="A49" t="s">
        <v>485</v>
      </c>
      <c r="C49" s="640"/>
      <c r="D49" s="640"/>
      <c r="E49" s="640"/>
      <c r="F49" s="640"/>
      <c r="G49" s="640"/>
      <c r="H49" s="640"/>
      <c r="I49" s="640"/>
    </row>
    <row r="50" spans="1:9">
      <c r="A50">
        <v>1</v>
      </c>
      <c r="B50" t="s">
        <v>486</v>
      </c>
    </row>
    <row r="51" spans="1:9">
      <c r="A51">
        <v>2</v>
      </c>
      <c r="B51" t="s">
        <v>487</v>
      </c>
    </row>
    <row r="52" spans="1:9">
      <c r="A52">
        <v>3</v>
      </c>
      <c r="B52" t="s">
        <v>488</v>
      </c>
    </row>
  </sheetData>
  <mergeCells count="11">
    <mergeCell ref="A32:H32"/>
    <mergeCell ref="A33:A34"/>
    <mergeCell ref="A42:H42"/>
    <mergeCell ref="A43:A44"/>
    <mergeCell ref="A1:H1"/>
    <mergeCell ref="A3:B3"/>
    <mergeCell ref="A11:H11"/>
    <mergeCell ref="A14:A16"/>
    <mergeCell ref="A21:H21"/>
    <mergeCell ref="A23:H23"/>
    <mergeCell ref="A24:A25"/>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4.TL repayment sch</vt:lpstr>
      <vt:lpstr>5.Closing Stock &amp; W Capital</vt:lpstr>
      <vt:lpstr>6.Cons Profit &amp; Loss</vt:lpstr>
      <vt:lpstr>7.Balance Sheet</vt:lpstr>
      <vt:lpstr>3.Other Exp &amp; Taxes</vt:lpstr>
      <vt:lpstr>10.Grain Production details</vt:lpstr>
      <vt:lpstr>8.Cash Flow </vt:lpstr>
      <vt:lpstr>9. Financial indiacators</vt:lpstr>
      <vt:lpstr>13.Facility 2 Grain Processing-</vt:lpstr>
      <vt:lpstr>11.F&amp;V Crop Production details</vt:lpstr>
      <vt:lpstr>12.Facility 1 - Trading</vt:lpstr>
      <vt:lpstr>17.Facility 6 Horti Processing </vt:lpstr>
      <vt:lpstr>14. Facility 3 Warehouse</vt:lpstr>
      <vt:lpstr>15. Facility 4 Custom Hiring</vt:lpstr>
      <vt:lpstr>16.Facility 5 Agri Input</vt:lpstr>
      <vt:lpstr>Input Sheet</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2023-04-03T08:15:03Z</dcterms:modified>
  <cp:contentStatus/>
</cp:coreProperties>
</file>